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1.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chart27.xml" ContentType="application/vnd.openxmlformats-officedocument.drawingml.chart+xml"/>
  <Override PartName="/xl/drawings/drawing13.xml" ContentType="application/vnd.openxmlformats-officedocument.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vbaProject.bin" ContentType="application/vnd.ms-office.vbaProject"/>
  <Override PartName="/xl/metadata.xml" ContentType="application/vnd.openxmlformats-officedocument.spreadsheetml.sheetMetadata+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trlProps/ctrlProp3.xml" ContentType="application/vnd.ms-excel.controlproperties+xml"/>
  <Override PartName="/xl/comments2.xml" ContentType="application/vnd.openxmlformats-officedocument.spreadsheetml.comments+xml"/>
  <Override PartName="/xl/ctrlProps/ctrlProp4.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tables/table1.xml" ContentType="application/vnd.openxmlformats-officedocument.spreadsheetml.table+xml"/>
  <Override PartName="/xl/comments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24226"/>
  <mc:AlternateContent xmlns:mc="http://schemas.openxmlformats.org/markup-compatibility/2006">
    <mc:Choice Requires="x15">
      <x15ac:absPath xmlns:x15ac="http://schemas.microsoft.com/office/spreadsheetml/2010/11/ac" url="C:\Main\Project Files\VTAP\2020 Benefits\Legacy\Run_20200827\"/>
    </mc:Choice>
  </mc:AlternateContent>
  <xr:revisionPtr revIDLastSave="0" documentId="13_ncr:1_{B3FCC2F2-0979-46B7-A216-C108F6188355}" xr6:coauthVersionLast="45" xr6:coauthVersionMax="45" xr10:uidLastSave="{00000000-0000-0000-0000-000000000000}"/>
  <bookViews>
    <workbookView xWindow="-23136" yWindow="-96" windowWidth="23232" windowHeight="12552" tabRatio="926" activeTab="3"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FuelAvail" sheetId="23" r:id="rId17"/>
    <sheet name="Veh Price" sheetId="27" r:id="rId18"/>
    <sheet name="Market Data" sheetId="5" r:id="rId19"/>
    <sheet name="Adoption Decision" sheetId="7"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FuelAvail!$C$9:$K$52</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8">'Market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TorF">FuelAvail!$D$56:$D$57</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4" i="4" l="1"/>
  <c r="J53" i="4"/>
  <c r="J52" i="4"/>
  <c r="J51" i="4"/>
  <c r="J50" i="4"/>
  <c r="J49" i="4"/>
  <c r="J48" i="4"/>
  <c r="J47" i="4"/>
  <c r="J46" i="4"/>
  <c r="J45" i="4"/>
  <c r="J44" i="4"/>
  <c r="J43" i="4"/>
  <c r="J42" i="4"/>
  <c r="J41" i="4"/>
  <c r="J40" i="4"/>
  <c r="J39" i="4"/>
  <c r="J38" i="4"/>
  <c r="J37" i="4"/>
  <c r="J36" i="4"/>
  <c r="J35" i="4"/>
  <c r="J34" i="4"/>
  <c r="J33" i="4"/>
  <c r="J32" i="4"/>
  <c r="J31" i="4"/>
  <c r="J30" i="4"/>
  <c r="J29" i="4"/>
  <c r="J28" i="4"/>
  <c r="J27" i="4"/>
  <c r="J26" i="4"/>
  <c r="J25" i="4"/>
  <c r="J24" i="4"/>
  <c r="J23" i="4"/>
  <c r="J22" i="4"/>
  <c r="J21" i="4"/>
  <c r="J20" i="4"/>
  <c r="J19" i="4"/>
  <c r="J18" i="4"/>
  <c r="J17" i="4"/>
  <c r="J16" i="4"/>
  <c r="J15" i="4"/>
  <c r="J14" i="4"/>
  <c r="AF54" i="4"/>
  <c r="AF53" i="4"/>
  <c r="AF52" i="4"/>
  <c r="AF51" i="4"/>
  <c r="AF50" i="4"/>
  <c r="AF49" i="4"/>
  <c r="AF48" i="4"/>
  <c r="AF47" i="4"/>
  <c r="AF46" i="4"/>
  <c r="AF45" i="4"/>
  <c r="AF44" i="4"/>
  <c r="AF43" i="4"/>
  <c r="AF42" i="4"/>
  <c r="AF41" i="4"/>
  <c r="AF40" i="4"/>
  <c r="AF39" i="4"/>
  <c r="AF38" i="4"/>
  <c r="AF37" i="4"/>
  <c r="AF36" i="4"/>
  <c r="AF35" i="4"/>
  <c r="AF34" i="4"/>
  <c r="AF33" i="4"/>
  <c r="AF32" i="4"/>
  <c r="AF31" i="4"/>
  <c r="AF30" i="4"/>
  <c r="AF29" i="4"/>
  <c r="AF28" i="4"/>
  <c r="AF27" i="4"/>
  <c r="AF26" i="4"/>
  <c r="AF25" i="4"/>
  <c r="AF24" i="4"/>
  <c r="AF23" i="4"/>
  <c r="AF22" i="4"/>
  <c r="AF21" i="4"/>
  <c r="AF20" i="4"/>
  <c r="AF19" i="4"/>
  <c r="AF18" i="4"/>
  <c r="AF17" i="4"/>
  <c r="AF16" i="4"/>
  <c r="AF15" i="4"/>
  <c r="AF14" i="4"/>
  <c r="AF13" i="4"/>
  <c r="U38" i="4"/>
  <c r="U37" i="4"/>
  <c r="U36" i="4"/>
  <c r="U35" i="4"/>
  <c r="U34" i="4"/>
  <c r="U33" i="4"/>
  <c r="U32" i="4"/>
  <c r="U31" i="4"/>
  <c r="U30" i="4"/>
  <c r="U29" i="4"/>
  <c r="U28" i="4"/>
  <c r="U27" i="4"/>
  <c r="U26" i="4"/>
  <c r="U25" i="4"/>
  <c r="U24" i="4"/>
  <c r="U23" i="4"/>
  <c r="U22" i="4" s="1"/>
  <c r="U21" i="4" s="1"/>
  <c r="U20" i="4" s="1"/>
  <c r="U19" i="4" s="1"/>
  <c r="U18" i="4" s="1"/>
  <c r="U17" i="4" s="1"/>
  <c r="U16" i="4" s="1"/>
  <c r="U15" i="4" s="1"/>
  <c r="U14" i="4" s="1"/>
  <c r="U13" i="4" s="1"/>
  <c r="U12" i="4" s="1"/>
  <c r="U11" i="4" s="1"/>
  <c r="AG105" i="4"/>
  <c r="AG104" i="4"/>
  <c r="AG103" i="4"/>
  <c r="AG102" i="4"/>
  <c r="AG101" i="4"/>
  <c r="AG100" i="4"/>
  <c r="AG99" i="4"/>
  <c r="AG98" i="4"/>
  <c r="AG97" i="4"/>
  <c r="AG96" i="4"/>
  <c r="AG95" i="4"/>
  <c r="AG94" i="4"/>
  <c r="AG93" i="4"/>
  <c r="AG92" i="4"/>
  <c r="AG91" i="4"/>
  <c r="AG90" i="4"/>
  <c r="AG89" i="4"/>
  <c r="AG88" i="4"/>
  <c r="AG87" i="4"/>
  <c r="AG86" i="4"/>
  <c r="AG85" i="4"/>
  <c r="AG84" i="4"/>
  <c r="AG83" i="4"/>
  <c r="AG82" i="4"/>
  <c r="AG81" i="4"/>
  <c r="AG80" i="4"/>
  <c r="AG79" i="4"/>
  <c r="AG78" i="4"/>
  <c r="AG77" i="4"/>
  <c r="AG76" i="4"/>
  <c r="AG75" i="4"/>
  <c r="AG74" i="4"/>
  <c r="AG73" i="4"/>
  <c r="AG72" i="4"/>
  <c r="AG71" i="4"/>
  <c r="AG70" i="4"/>
  <c r="AG69" i="4"/>
  <c r="AG68" i="4"/>
  <c r="AG67" i="4"/>
  <c r="AG66" i="4"/>
  <c r="AG65" i="4"/>
  <c r="AG64" i="4"/>
  <c r="AG63" i="4"/>
  <c r="K73" i="4"/>
  <c r="K72" i="4"/>
  <c r="K71" i="4"/>
  <c r="K68" i="4"/>
  <c r="K67" i="4" s="1"/>
  <c r="K66" i="4" s="1"/>
  <c r="K65" i="4" s="1"/>
  <c r="K64" i="4" s="1"/>
  <c r="K63" i="4" s="1"/>
  <c r="K62" i="4" s="1"/>
  <c r="AG62" i="4" s="1"/>
  <c r="K69" i="4"/>
  <c r="K83" i="4"/>
  <c r="K84" i="4" s="1"/>
  <c r="K85" i="4" s="1"/>
  <c r="K86" i="4" s="1"/>
  <c r="K87" i="4" s="1"/>
  <c r="K88" i="4" s="1"/>
  <c r="K89" i="4" s="1"/>
  <c r="K90" i="4" s="1"/>
  <c r="K91" i="4" s="1"/>
  <c r="K92" i="4" s="1"/>
  <c r="K93" i="4" s="1"/>
  <c r="K94" i="4" s="1"/>
  <c r="K95" i="4" s="1"/>
  <c r="K96" i="4" s="1"/>
  <c r="K97" i="4" s="1"/>
  <c r="K98" i="4" s="1"/>
  <c r="K99" i="4" s="1"/>
  <c r="K100" i="4" s="1"/>
  <c r="K101" i="4" s="1"/>
  <c r="K102" i="4" s="1"/>
  <c r="K103" i="4" s="1"/>
  <c r="K104" i="4" s="1"/>
  <c r="K82" i="4"/>
  <c r="K81" i="4"/>
  <c r="K76" i="4"/>
  <c r="K77" i="4" s="1"/>
  <c r="K78" i="4" s="1"/>
  <c r="K79" i="4" s="1"/>
  <c r="K75" i="4"/>
  <c r="G67" i="21" l="1" a="1"/>
  <c r="G67" i="21" s="1"/>
  <c r="F67" i="21" a="1"/>
  <c r="F67" i="21" s="1"/>
  <c r="E67" i="21" a="1"/>
  <c r="E67" i="21" s="1"/>
  <c r="D67" i="21" a="1"/>
  <c r="D67" i="21" s="1"/>
  <c r="C67" i="21"/>
  <c r="C67" i="21" a="1"/>
  <c r="B67" i="21" a="1"/>
  <c r="B67" i="21" s="1"/>
  <c r="G66" i="21" a="1"/>
  <c r="G66" i="21" s="1"/>
  <c r="F66" i="21" a="1"/>
  <c r="F66" i="21" s="1"/>
  <c r="E66" i="21" a="1"/>
  <c r="E66" i="21" s="1"/>
  <c r="D66" i="21" a="1"/>
  <c r="D66" i="21" s="1"/>
  <c r="C66" i="21" a="1"/>
  <c r="C66" i="21" s="1"/>
  <c r="B66" i="21" a="1"/>
  <c r="B66" i="21" s="1"/>
  <c r="G65" i="21" a="1"/>
  <c r="G65" i="21" s="1"/>
  <c r="F65" i="21" a="1"/>
  <c r="F65" i="21" s="1"/>
  <c r="E65" i="21" a="1"/>
  <c r="E65" i="21" s="1"/>
  <c r="D65" i="21" a="1"/>
  <c r="D65" i="21" s="1"/>
  <c r="C65" i="21" a="1"/>
  <c r="C65" i="21" s="1"/>
  <c r="B65" i="21" a="1"/>
  <c r="B65" i="21" s="1"/>
  <c r="G64" i="21" a="1"/>
  <c r="G64" i="21" s="1"/>
  <c r="F64" i="21" a="1"/>
  <c r="F64" i="21" s="1"/>
  <c r="E64" i="21" a="1"/>
  <c r="E64" i="21" s="1"/>
  <c r="D64" i="21" a="1"/>
  <c r="D64" i="21" s="1"/>
  <c r="C64" i="21" a="1"/>
  <c r="C64" i="21" s="1"/>
  <c r="B64" i="21" a="1"/>
  <c r="B64" i="21" s="1"/>
  <c r="G63" i="21" a="1"/>
  <c r="G63" i="21" s="1"/>
  <c r="F63" i="21" a="1"/>
  <c r="F63" i="21" s="1"/>
  <c r="E63" i="21" a="1"/>
  <c r="E63" i="21" s="1"/>
  <c r="D63" i="21" a="1"/>
  <c r="D63" i="21" s="1"/>
  <c r="C63" i="21" a="1"/>
  <c r="C63" i="21" s="1"/>
  <c r="B63" i="21" a="1"/>
  <c r="B63" i="21" s="1"/>
  <c r="G62" i="21" a="1"/>
  <c r="G62" i="21" s="1"/>
  <c r="F62" i="21" a="1"/>
  <c r="F62" i="21" s="1"/>
  <c r="E62" i="21" a="1"/>
  <c r="E62" i="21" s="1"/>
  <c r="D62" i="21" a="1"/>
  <c r="D62" i="21" s="1"/>
  <c r="C62" i="21" a="1"/>
  <c r="C62" i="21" s="1"/>
  <c r="B62" i="21" a="1"/>
  <c r="B62" i="21" s="1"/>
  <c r="G61" i="21" a="1"/>
  <c r="G61" i="21" s="1"/>
  <c r="F61" i="21"/>
  <c r="F61" i="21" a="1"/>
  <c r="E61" i="21" a="1"/>
  <c r="E61" i="21" s="1"/>
  <c r="D61" i="21" a="1"/>
  <c r="D61" i="21" s="1"/>
  <c r="C61" i="21" a="1"/>
  <c r="C61" i="21" s="1"/>
  <c r="B61" i="21" a="1"/>
  <c r="B61" i="21" s="1"/>
  <c r="G60" i="21" a="1"/>
  <c r="G60" i="21" s="1"/>
  <c r="F60" i="21" a="1"/>
  <c r="F60" i="21" s="1"/>
  <c r="E60" i="21" a="1"/>
  <c r="E60" i="21" s="1"/>
  <c r="D60" i="21" a="1"/>
  <c r="D60" i="21" s="1"/>
  <c r="C60" i="21" a="1"/>
  <c r="C60" i="21" s="1"/>
  <c r="B60" i="21"/>
  <c r="B60" i="21" a="1"/>
  <c r="G59" i="21" a="1"/>
  <c r="G59" i="21" s="1"/>
  <c r="F59" i="21" a="1"/>
  <c r="F59" i="21" s="1"/>
  <c r="E59" i="21" a="1"/>
  <c r="E59" i="21" s="1"/>
  <c r="D59" i="21" a="1"/>
  <c r="D59" i="21" s="1"/>
  <c r="C59" i="21" a="1"/>
  <c r="C59" i="21" s="1"/>
  <c r="B59" i="21" a="1"/>
  <c r="B59" i="21" s="1"/>
  <c r="G58" i="21" a="1"/>
  <c r="G58" i="21" s="1"/>
  <c r="F58" i="21" a="1"/>
  <c r="F58" i="21" s="1"/>
  <c r="E58" i="21" a="1"/>
  <c r="E58" i="21" s="1"/>
  <c r="D58" i="21" a="1"/>
  <c r="D58" i="21" s="1"/>
  <c r="C58" i="21" a="1"/>
  <c r="C58" i="21" s="1"/>
  <c r="B58" i="21" a="1"/>
  <c r="B58" i="21" s="1"/>
  <c r="G57" i="21" a="1"/>
  <c r="G57" i="21" s="1"/>
  <c r="F57" i="21"/>
  <c r="F57" i="21" a="1"/>
  <c r="E57" i="21" a="1"/>
  <c r="E57" i="21" s="1"/>
  <c r="D57" i="21" a="1"/>
  <c r="D57" i="21" s="1"/>
  <c r="C57" i="21" a="1"/>
  <c r="C57" i="21" s="1"/>
  <c r="B57" i="21" a="1"/>
  <c r="B57" i="21" s="1"/>
  <c r="G56" i="21" a="1"/>
  <c r="G56" i="21" s="1"/>
  <c r="F56" i="21" a="1"/>
  <c r="F56" i="21" s="1"/>
  <c r="E56" i="21" a="1"/>
  <c r="E56" i="21" s="1"/>
  <c r="D56" i="21" a="1"/>
  <c r="D56" i="21" s="1"/>
  <c r="C56" i="21" a="1"/>
  <c r="C56" i="21" s="1"/>
  <c r="B56" i="21" a="1"/>
  <c r="B56" i="21" s="1"/>
  <c r="G55" i="21" a="1"/>
  <c r="G55" i="21" s="1"/>
  <c r="F55" i="21" a="1"/>
  <c r="F55" i="21" s="1"/>
  <c r="E55" i="21"/>
  <c r="E55" i="21" a="1"/>
  <c r="D55" i="21" a="1"/>
  <c r="D55" i="21" s="1"/>
  <c r="C55" i="21" a="1"/>
  <c r="C55" i="21" s="1"/>
  <c r="B55" i="21" a="1"/>
  <c r="B55" i="21" s="1"/>
  <c r="G54" i="21" a="1"/>
  <c r="G54" i="21" s="1"/>
  <c r="F54" i="21" a="1"/>
  <c r="F54" i="21" s="1"/>
  <c r="E54" i="21"/>
  <c r="E54" i="21" a="1"/>
  <c r="D54" i="21" a="1"/>
  <c r="D54" i="21" s="1"/>
  <c r="C54" i="21" a="1"/>
  <c r="C54" i="21" s="1"/>
  <c r="B54" i="21" a="1"/>
  <c r="B54" i="21" s="1"/>
  <c r="G53" i="21" a="1"/>
  <c r="G53" i="21" s="1"/>
  <c r="F53" i="21" a="1"/>
  <c r="F53" i="21" s="1"/>
  <c r="E53" i="21"/>
  <c r="E53" i="21" a="1"/>
  <c r="D53" i="21" a="1"/>
  <c r="D53" i="21" s="1"/>
  <c r="C53" i="21"/>
  <c r="C53" i="21" a="1"/>
  <c r="B53" i="21" a="1"/>
  <c r="B53" i="21" s="1"/>
  <c r="G52" i="21" a="1"/>
  <c r="G52" i="21" s="1"/>
  <c r="F52" i="21" a="1"/>
  <c r="F52" i="21" s="1"/>
  <c r="E52" i="21"/>
  <c r="E52" i="21" a="1"/>
  <c r="D52" i="21" a="1"/>
  <c r="D52" i="21" s="1"/>
  <c r="C52" i="21"/>
  <c r="C52" i="21" a="1"/>
  <c r="B52" i="21" a="1"/>
  <c r="B52" i="21" s="1"/>
  <c r="G51" i="21" a="1"/>
  <c r="G51" i="21" s="1"/>
  <c r="F51" i="21" a="1"/>
  <c r="F51" i="21" s="1"/>
  <c r="E51" i="21"/>
  <c r="E51" i="21" a="1"/>
  <c r="D51" i="21" a="1"/>
  <c r="D51" i="21" s="1"/>
  <c r="C51" i="21" a="1"/>
  <c r="C51" i="21" s="1"/>
  <c r="B51" i="21" a="1"/>
  <c r="B51" i="21" s="1"/>
  <c r="G50" i="21" a="1"/>
  <c r="G50" i="21" s="1"/>
  <c r="F50" i="21" a="1"/>
  <c r="F50" i="21" s="1"/>
  <c r="E50" i="21" a="1"/>
  <c r="E50" i="21" s="1"/>
  <c r="D50" i="21" a="1"/>
  <c r="D50" i="21" s="1"/>
  <c r="C50" i="21" a="1"/>
  <c r="C50" i="21" s="1"/>
  <c r="B50" i="21" a="1"/>
  <c r="B50" i="21" s="1"/>
  <c r="G49" i="21" a="1"/>
  <c r="G49" i="21" s="1"/>
  <c r="F49" i="21" a="1"/>
  <c r="F49" i="21" s="1"/>
  <c r="E49" i="21" a="1"/>
  <c r="E49" i="21" s="1"/>
  <c r="D49" i="21" a="1"/>
  <c r="D49" i="21" s="1"/>
  <c r="C49" i="21" a="1"/>
  <c r="C49" i="21" s="1"/>
  <c r="B49" i="21" a="1"/>
  <c r="B49" i="21" s="1"/>
  <c r="G48" i="21" a="1"/>
  <c r="G48" i="21" s="1"/>
  <c r="F48" i="21" a="1"/>
  <c r="F48" i="21" s="1"/>
  <c r="E48" i="21" a="1"/>
  <c r="E48" i="21" s="1"/>
  <c r="D48" i="21" a="1"/>
  <c r="D48" i="21" s="1"/>
  <c r="C48" i="21" a="1"/>
  <c r="C48" i="21" s="1"/>
  <c r="B48" i="21" a="1"/>
  <c r="B48" i="21" s="1"/>
  <c r="G47" i="21" a="1"/>
  <c r="G47" i="21" s="1"/>
  <c r="F47" i="21" a="1"/>
  <c r="F47" i="21" s="1"/>
  <c r="E47" i="21" a="1"/>
  <c r="E47" i="21" s="1"/>
  <c r="D47" i="21" a="1"/>
  <c r="D47" i="21" s="1"/>
  <c r="C47" i="21" a="1"/>
  <c r="C47" i="21" s="1"/>
  <c r="B47" i="21" a="1"/>
  <c r="B47" i="21" s="1"/>
  <c r="G46" i="21" a="1"/>
  <c r="G46" i="21" s="1"/>
  <c r="F46" i="21" a="1"/>
  <c r="F46" i="21" s="1"/>
  <c r="E46" i="21" a="1"/>
  <c r="E46" i="21" s="1"/>
  <c r="D46" i="21" a="1"/>
  <c r="D46" i="21" s="1"/>
  <c r="C46" i="21" a="1"/>
  <c r="C46" i="21" s="1"/>
  <c r="B46" i="21" a="1"/>
  <c r="B46" i="21" s="1"/>
  <c r="G45" i="21" a="1"/>
  <c r="G45" i="21" s="1"/>
  <c r="F45" i="21" a="1"/>
  <c r="F45" i="21" s="1"/>
  <c r="E45" i="21"/>
  <c r="E45" i="21" a="1"/>
  <c r="D45" i="21" a="1"/>
  <c r="D45" i="21" s="1"/>
  <c r="C45" i="21" a="1"/>
  <c r="C45" i="21" s="1"/>
  <c r="B45" i="21" a="1"/>
  <c r="B45" i="21" s="1"/>
  <c r="G44" i="21" a="1"/>
  <c r="G44" i="21" s="1"/>
  <c r="F44" i="21" a="1"/>
  <c r="F44" i="21" s="1"/>
  <c r="E44" i="21" a="1"/>
  <c r="E44" i="21" s="1"/>
  <c r="D44" i="21" a="1"/>
  <c r="D44" i="21" s="1"/>
  <c r="C44" i="21" a="1"/>
  <c r="C44" i="21" s="1"/>
  <c r="B44" i="21" a="1"/>
  <c r="B44" i="21" s="1"/>
  <c r="G43" i="21" a="1"/>
  <c r="G43" i="21" s="1"/>
  <c r="F43" i="21" a="1"/>
  <c r="F43" i="21" s="1"/>
  <c r="E43" i="21" a="1"/>
  <c r="E43" i="21" s="1"/>
  <c r="D43" i="21" a="1"/>
  <c r="D43" i="21" s="1"/>
  <c r="C43" i="21" a="1"/>
  <c r="C43" i="21" s="1"/>
  <c r="B43" i="21" a="1"/>
  <c r="B43" i="21" s="1"/>
  <c r="G42" i="21" a="1"/>
  <c r="G42" i="21" s="1"/>
  <c r="F42" i="21" a="1"/>
  <c r="F42" i="21" s="1"/>
  <c r="E42" i="21" a="1"/>
  <c r="E42" i="21" s="1"/>
  <c r="D42" i="21" a="1"/>
  <c r="D42" i="21" s="1"/>
  <c r="C42" i="21" a="1"/>
  <c r="C42" i="21" s="1"/>
  <c r="B42" i="21" a="1"/>
  <c r="B42" i="21" s="1"/>
  <c r="G41" i="21"/>
  <c r="G41" i="21" a="1"/>
  <c r="F41" i="21" a="1"/>
  <c r="F41" i="21" s="1"/>
  <c r="E41" i="21" a="1"/>
  <c r="E41" i="21" s="1"/>
  <c r="D41" i="21" a="1"/>
  <c r="D41" i="21" s="1"/>
  <c r="C41" i="21" a="1"/>
  <c r="C41" i="21" s="1"/>
  <c r="B41" i="21" a="1"/>
  <c r="B41" i="21" s="1"/>
  <c r="G40" i="21"/>
  <c r="G40" i="21" a="1"/>
  <c r="F40" i="21" a="1"/>
  <c r="F40" i="21" s="1"/>
  <c r="E40" i="21" a="1"/>
  <c r="E40" i="21" s="1"/>
  <c r="D40" i="21" a="1"/>
  <c r="D40" i="21" s="1"/>
  <c r="C40" i="21" a="1"/>
  <c r="C40" i="21" s="1"/>
  <c r="B40" i="21" a="1"/>
  <c r="B40" i="21" s="1"/>
  <c r="G39" i="21"/>
  <c r="G39" i="21" a="1"/>
  <c r="F39" i="21" a="1"/>
  <c r="F39" i="21" s="1"/>
  <c r="E39" i="21" a="1"/>
  <c r="E39" i="21" s="1"/>
  <c r="D39" i="21" a="1"/>
  <c r="D39" i="21" s="1"/>
  <c r="C39" i="21" a="1"/>
  <c r="C39" i="21" s="1"/>
  <c r="B39" i="21" a="1"/>
  <c r="B39" i="21" s="1"/>
  <c r="G38" i="21" a="1"/>
  <c r="G38" i="21" s="1"/>
  <c r="F38" i="21" a="1"/>
  <c r="F38" i="21" s="1"/>
  <c r="E38" i="21" a="1"/>
  <c r="E38" i="21" s="1"/>
  <c r="D38" i="21" a="1"/>
  <c r="D38" i="21" s="1"/>
  <c r="C38" i="21" a="1"/>
  <c r="C38" i="21" s="1"/>
  <c r="B38" i="21" a="1"/>
  <c r="B38" i="21" s="1"/>
  <c r="G37" i="21"/>
  <c r="G37" i="21" a="1"/>
  <c r="F37" i="21" a="1"/>
  <c r="F37" i="21" s="1"/>
  <c r="E37" i="21" a="1"/>
  <c r="E37" i="21" s="1"/>
  <c r="D37" i="21"/>
  <c r="D37" i="21" a="1"/>
  <c r="C37" i="21" a="1"/>
  <c r="C37" i="21" s="1"/>
  <c r="B37" i="21" a="1"/>
  <c r="B37" i="21" s="1"/>
  <c r="G36" i="21" a="1"/>
  <c r="G36" i="21" s="1"/>
  <c r="F36" i="21" a="1"/>
  <c r="F36" i="21" s="1"/>
  <c r="E36" i="21" a="1"/>
  <c r="E36" i="21" s="1"/>
  <c r="D36" i="21" a="1"/>
  <c r="D36" i="21" s="1"/>
  <c r="C36" i="21" a="1"/>
  <c r="C36" i="21" s="1"/>
  <c r="B36" i="21" a="1"/>
  <c r="B36" i="21" s="1"/>
  <c r="G35" i="21" a="1"/>
  <c r="G35" i="21" s="1"/>
  <c r="F35" i="21" a="1"/>
  <c r="F35" i="21" s="1"/>
  <c r="E35" i="21" a="1"/>
  <c r="E35" i="21" s="1"/>
  <c r="D35" i="21" a="1"/>
  <c r="D35" i="21" s="1"/>
  <c r="C35" i="21" a="1"/>
  <c r="C35" i="21" s="1"/>
  <c r="B35" i="21" a="1"/>
  <c r="B35" i="21" s="1"/>
  <c r="G34" i="21"/>
  <c r="G34" i="21" a="1"/>
  <c r="F34" i="21" a="1"/>
  <c r="F34" i="21" s="1"/>
  <c r="E34" i="21" a="1"/>
  <c r="E34" i="21" s="1"/>
  <c r="D34" i="21"/>
  <c r="D34" i="21" a="1"/>
  <c r="C34" i="21"/>
  <c r="C34" i="21" a="1"/>
  <c r="B34" i="21" a="1"/>
  <c r="B34" i="21" s="1"/>
  <c r="G33" i="21"/>
  <c r="G33" i="21" a="1"/>
  <c r="F33" i="21" a="1"/>
  <c r="F33" i="21" s="1"/>
  <c r="E33" i="21" a="1"/>
  <c r="E33" i="21" s="1"/>
  <c r="D33" i="21" a="1"/>
  <c r="D33" i="21" s="1"/>
  <c r="C33" i="21"/>
  <c r="C33" i="21" a="1"/>
  <c r="B33" i="21" a="1"/>
  <c r="B33" i="21" s="1"/>
  <c r="G32" i="21" a="1"/>
  <c r="G32" i="21" s="1"/>
  <c r="F32" i="21" a="1"/>
  <c r="F32" i="21" s="1"/>
  <c r="E32" i="21" a="1"/>
  <c r="E32" i="21" s="1"/>
  <c r="D32" i="21" a="1"/>
  <c r="D32" i="21" s="1"/>
  <c r="C32" i="21"/>
  <c r="C32" i="21" a="1"/>
  <c r="B32" i="21" a="1"/>
  <c r="B32" i="21" s="1"/>
  <c r="G31" i="21" a="1"/>
  <c r="G31" i="21" s="1"/>
  <c r="F31" i="21" a="1"/>
  <c r="F31" i="21" s="1"/>
  <c r="E31" i="21" a="1"/>
  <c r="E31" i="21" s="1"/>
  <c r="D31" i="21" a="1"/>
  <c r="D31" i="21" s="1"/>
  <c r="C31" i="21"/>
  <c r="C31" i="21" a="1"/>
  <c r="B31" i="21" a="1"/>
  <c r="B31" i="21" s="1"/>
  <c r="G30" i="21" a="1"/>
  <c r="G30" i="21" s="1"/>
  <c r="F30" i="21" a="1"/>
  <c r="F30" i="21" s="1"/>
  <c r="E30" i="21" a="1"/>
  <c r="E30" i="21" s="1"/>
  <c r="D30" i="21" a="1"/>
  <c r="D30" i="21" s="1"/>
  <c r="C30" i="21"/>
  <c r="C30" i="21" a="1"/>
  <c r="B30" i="21" a="1"/>
  <c r="B30" i="21" s="1"/>
  <c r="G29" i="21" a="1"/>
  <c r="G29" i="21" s="1"/>
  <c r="F29" i="21"/>
  <c r="F29" i="21" a="1"/>
  <c r="E29" i="21"/>
  <c r="E29" i="21" a="1"/>
  <c r="D29" i="21" a="1"/>
  <c r="D29" i="21" s="1"/>
  <c r="C29" i="21"/>
  <c r="C29" i="21" a="1"/>
  <c r="B29" i="21" a="1"/>
  <c r="B29" i="21" s="1"/>
  <c r="G28" i="21" a="1"/>
  <c r="G28" i="21" s="1"/>
  <c r="F28" i="21" a="1"/>
  <c r="F28" i="21" s="1"/>
  <c r="E28" i="21" a="1"/>
  <c r="E28" i="21" s="1"/>
  <c r="D28" i="21" a="1"/>
  <c r="D28" i="21" s="1"/>
  <c r="C28" i="21" a="1"/>
  <c r="C28" i="21" s="1"/>
  <c r="B28" i="21" a="1"/>
  <c r="B28" i="21" s="1"/>
  <c r="G27" i="21" a="1"/>
  <c r="G27" i="21" s="1"/>
  <c r="F27" i="21"/>
  <c r="F27" i="21" a="1"/>
  <c r="E27" i="21" a="1"/>
  <c r="E27" i="21" s="1"/>
  <c r="D27" i="21" a="1"/>
  <c r="D27" i="21" s="1"/>
  <c r="C27" i="21" a="1"/>
  <c r="C27" i="21" s="1"/>
  <c r="B27" i="21" a="1"/>
  <c r="B27" i="21" s="1"/>
  <c r="G26" i="21" a="1"/>
  <c r="G26" i="21" s="1"/>
  <c r="F26" i="21" a="1"/>
  <c r="F26" i="21" s="1"/>
  <c r="E26" i="21"/>
  <c r="E26" i="21" a="1"/>
  <c r="D26" i="21" a="1"/>
  <c r="D26" i="21" s="1"/>
  <c r="C26" i="21" a="1"/>
  <c r="C26" i="21" s="1"/>
  <c r="B26" i="21" a="1"/>
  <c r="B26" i="21" s="1"/>
  <c r="G25" i="21" a="1"/>
  <c r="G25" i="21" s="1"/>
  <c r="F25" i="21" a="1"/>
  <c r="F25" i="21" s="1"/>
  <c r="E25" i="21" a="1"/>
  <c r="E25" i="21" s="1"/>
  <c r="D25" i="21" a="1"/>
  <c r="D25" i="21" s="1"/>
  <c r="C25" i="21" a="1"/>
  <c r="C25" i="21" s="1"/>
  <c r="B25" i="21" a="1"/>
  <c r="B25" i="21" s="1"/>
  <c r="G24" i="21" a="1"/>
  <c r="G24" i="21" s="1"/>
  <c r="F24" i="21" a="1"/>
  <c r="F24" i="21" s="1"/>
  <c r="E24" i="21" a="1"/>
  <c r="E24" i="21" s="1"/>
  <c r="D24" i="21" a="1"/>
  <c r="D24" i="21" s="1"/>
  <c r="C24" i="21" a="1"/>
  <c r="C24" i="21" s="1"/>
  <c r="B24" i="21" a="1"/>
  <c r="B24" i="21" s="1"/>
  <c r="M65" i="22" l="1"/>
  <c r="L65" i="22"/>
  <c r="K65" i="22"/>
  <c r="J65" i="22"/>
  <c r="I65" i="22"/>
  <c r="M64" i="22"/>
  <c r="L64" i="22"/>
  <c r="K64" i="22"/>
  <c r="J64" i="22"/>
  <c r="I64" i="22"/>
  <c r="M63" i="22"/>
  <c r="L63" i="22"/>
  <c r="K63" i="22"/>
  <c r="J63" i="22"/>
  <c r="I63" i="22"/>
  <c r="M62" i="22"/>
  <c r="L62" i="22"/>
  <c r="K62" i="22"/>
  <c r="J62" i="22"/>
  <c r="I62" i="22"/>
  <c r="M61" i="22"/>
  <c r="L61" i="22"/>
  <c r="K61" i="22"/>
  <c r="J61" i="22"/>
  <c r="I61" i="22"/>
  <c r="M60" i="22"/>
  <c r="L60" i="22"/>
  <c r="K60" i="22"/>
  <c r="J60" i="22"/>
  <c r="I60" i="22"/>
  <c r="M59" i="22"/>
  <c r="L59" i="22"/>
  <c r="K59" i="22"/>
  <c r="J59" i="22"/>
  <c r="I59" i="22"/>
  <c r="M58" i="22"/>
  <c r="L58" i="22"/>
  <c r="K58" i="22"/>
  <c r="J58" i="22"/>
  <c r="I58" i="22"/>
  <c r="M57" i="22"/>
  <c r="L57" i="22"/>
  <c r="K57" i="22"/>
  <c r="J57" i="22"/>
  <c r="I57" i="22"/>
  <c r="M56" i="22"/>
  <c r="L56" i="22"/>
  <c r="K56" i="22"/>
  <c r="J56" i="22"/>
  <c r="I56" i="22"/>
  <c r="M55" i="22"/>
  <c r="L55" i="22"/>
  <c r="K55" i="22"/>
  <c r="J55" i="22"/>
  <c r="I55" i="22"/>
  <c r="M54" i="22"/>
  <c r="L54" i="22"/>
  <c r="K54" i="22"/>
  <c r="J54" i="22"/>
  <c r="I54" i="22"/>
  <c r="M53" i="22"/>
  <c r="L53" i="22"/>
  <c r="K53" i="22"/>
  <c r="J53" i="22"/>
  <c r="I53" i="22"/>
  <c r="M52" i="22"/>
  <c r="L52" i="22"/>
  <c r="K52" i="22"/>
  <c r="J52" i="22"/>
  <c r="I52" i="22"/>
  <c r="M51" i="22"/>
  <c r="L51" i="22"/>
  <c r="K51" i="22"/>
  <c r="J51" i="22"/>
  <c r="I51" i="22"/>
  <c r="M50" i="22"/>
  <c r="L50" i="22"/>
  <c r="K50" i="22"/>
  <c r="J50" i="22"/>
  <c r="I50" i="22"/>
  <c r="M49" i="22"/>
  <c r="L49" i="22"/>
  <c r="K49" i="22"/>
  <c r="J49" i="22"/>
  <c r="I49" i="22"/>
  <c r="M48" i="22"/>
  <c r="L48" i="22"/>
  <c r="K48" i="22"/>
  <c r="J48" i="22"/>
  <c r="I48" i="22"/>
  <c r="M47" i="22"/>
  <c r="L47" i="22"/>
  <c r="K47" i="22"/>
  <c r="J47" i="22"/>
  <c r="I47" i="22"/>
  <c r="M46" i="22"/>
  <c r="L46" i="22"/>
  <c r="K46" i="22"/>
  <c r="J46" i="22"/>
  <c r="I46" i="22"/>
  <c r="M45" i="22"/>
  <c r="L45" i="22"/>
  <c r="K45" i="22"/>
  <c r="J45" i="22"/>
  <c r="I45" i="22"/>
  <c r="M44" i="22"/>
  <c r="L44" i="22"/>
  <c r="K44" i="22"/>
  <c r="J44" i="22"/>
  <c r="I44" i="22"/>
  <c r="M43" i="22"/>
  <c r="L43" i="22"/>
  <c r="K43" i="22"/>
  <c r="J43" i="22"/>
  <c r="I43" i="22"/>
  <c r="M42" i="22"/>
  <c r="L42" i="22"/>
  <c r="K42" i="22"/>
  <c r="J42" i="22"/>
  <c r="I42" i="22"/>
  <c r="M41" i="22"/>
  <c r="L41" i="22"/>
  <c r="K41" i="22"/>
  <c r="J41" i="22"/>
  <c r="I41" i="22"/>
  <c r="M40" i="22"/>
  <c r="L40" i="22"/>
  <c r="K40" i="22"/>
  <c r="J40" i="22"/>
  <c r="I40" i="22"/>
  <c r="M39" i="22"/>
  <c r="L39" i="22"/>
  <c r="K39" i="22"/>
  <c r="J39" i="22"/>
  <c r="I39" i="22"/>
  <c r="M38" i="22"/>
  <c r="L38" i="22"/>
  <c r="K38" i="22"/>
  <c r="J38" i="22"/>
  <c r="I38" i="22"/>
  <c r="M37" i="22"/>
  <c r="L37" i="22"/>
  <c r="K37" i="22"/>
  <c r="J37" i="22"/>
  <c r="I37" i="22"/>
  <c r="M36" i="22"/>
  <c r="L36" i="22"/>
  <c r="K36" i="22"/>
  <c r="J36" i="22"/>
  <c r="I36" i="22"/>
  <c r="M35" i="22"/>
  <c r="L35" i="22"/>
  <c r="K35" i="22"/>
  <c r="J35" i="22"/>
  <c r="I35" i="22"/>
  <c r="M34" i="22"/>
  <c r="L34" i="22"/>
  <c r="K34" i="22"/>
  <c r="J34" i="22"/>
  <c r="I34" i="22"/>
  <c r="M33" i="22"/>
  <c r="L33" i="22"/>
  <c r="K33" i="22"/>
  <c r="J33" i="22"/>
  <c r="I33" i="22"/>
  <c r="M32" i="22"/>
  <c r="L32" i="22"/>
  <c r="K32" i="22"/>
  <c r="J32" i="22"/>
  <c r="I32" i="22"/>
  <c r="M31" i="22"/>
  <c r="L31" i="22"/>
  <c r="K31" i="22"/>
  <c r="J31" i="22"/>
  <c r="I31" i="22"/>
  <c r="M30" i="22"/>
  <c r="L30" i="22"/>
  <c r="K30" i="22"/>
  <c r="J30" i="22"/>
  <c r="I30" i="22"/>
  <c r="M29" i="22"/>
  <c r="L29" i="22"/>
  <c r="K29" i="22"/>
  <c r="J29" i="22"/>
  <c r="I29" i="22"/>
  <c r="M28" i="22"/>
  <c r="L28" i="22"/>
  <c r="K28" i="22"/>
  <c r="J28" i="22"/>
  <c r="I28" i="22"/>
  <c r="M27" i="22"/>
  <c r="L27" i="22"/>
  <c r="K27" i="22"/>
  <c r="J27" i="22"/>
  <c r="I27" i="22"/>
  <c r="M26" i="22"/>
  <c r="L26" i="22"/>
  <c r="K26" i="22"/>
  <c r="J26" i="22"/>
  <c r="I26" i="22"/>
  <c r="M25" i="22"/>
  <c r="L25" i="22"/>
  <c r="K25" i="22"/>
  <c r="J25" i="22"/>
  <c r="I25" i="22"/>
  <c r="M24" i="22"/>
  <c r="L24" i="22"/>
  <c r="K24" i="22"/>
  <c r="J24" i="22"/>
  <c r="I24" i="22"/>
  <c r="M23" i="22"/>
  <c r="L23" i="22"/>
  <c r="K23" i="22"/>
  <c r="J23" i="22"/>
  <c r="I23" i="22"/>
  <c r="M22" i="22"/>
  <c r="L22" i="22"/>
  <c r="K22" i="22"/>
  <c r="J22" i="22"/>
  <c r="I22" i="22"/>
  <c r="M65" i="12"/>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B10" i="9" l="1"/>
  <c r="S23" i="4" l="1"/>
  <c r="S22" i="4"/>
  <c r="S21" i="4"/>
  <c r="S20" i="4"/>
  <c r="S19" i="4"/>
  <c r="S18" i="4"/>
  <c r="S17" i="4"/>
  <c r="S16" i="4"/>
  <c r="S15" i="4"/>
  <c r="S14" i="4"/>
  <c r="S13" i="4"/>
  <c r="S12" i="4"/>
  <c r="S11" i="4"/>
  <c r="AE54" i="4" l="1"/>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O23" i="4" s="1"/>
  <c r="AE22" i="4"/>
  <c r="AO22" i="4" s="1"/>
  <c r="AE21" i="4"/>
  <c r="AO21" i="4" s="1"/>
  <c r="AE20" i="4"/>
  <c r="AO20" i="4" s="1"/>
  <c r="AE19" i="4"/>
  <c r="AO19" i="4" s="1"/>
  <c r="AE18" i="4"/>
  <c r="AO18" i="4" s="1"/>
  <c r="AE17" i="4"/>
  <c r="AO17" i="4" s="1"/>
  <c r="AE16" i="4"/>
  <c r="AO16" i="4" s="1"/>
  <c r="AE15" i="4"/>
  <c r="AO15" i="4" s="1"/>
  <c r="AE14" i="4"/>
  <c r="AO14" i="4" s="1"/>
  <c r="AE13" i="4"/>
  <c r="AO13" i="4" s="1"/>
  <c r="AE12" i="4"/>
  <c r="AO12" i="4" s="1"/>
  <c r="AE11" i="4"/>
  <c r="AO11" i="4" s="1"/>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Z12" i="4"/>
  <c r="F12" i="4" s="1"/>
  <c r="AZ13" i="4"/>
  <c r="F13" i="4" s="1"/>
  <c r="AZ14" i="4"/>
  <c r="F14" i="4" s="1"/>
  <c r="AZ15" i="4"/>
  <c r="F15" i="4" s="1"/>
  <c r="AZ16" i="4"/>
  <c r="F16" i="4" s="1"/>
  <c r="AZ17" i="4"/>
  <c r="F17" i="4" s="1"/>
  <c r="AZ18" i="4"/>
  <c r="F18" i="4" s="1"/>
  <c r="AZ19" i="4"/>
  <c r="F19" i="4" s="1"/>
  <c r="AZ20" i="4"/>
  <c r="F20" i="4" s="1"/>
  <c r="AZ21" i="4"/>
  <c r="F21" i="4" s="1"/>
  <c r="AZ22" i="4"/>
  <c r="F22" i="4" s="1"/>
  <c r="AZ23" i="4"/>
  <c r="AZ11" i="4"/>
  <c r="F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AE21" i="22" l="1"/>
  <c r="AD21" i="22"/>
  <c r="AC21" i="22"/>
  <c r="AB21" i="22"/>
  <c r="AA21" i="22"/>
  <c r="AE21" i="12"/>
  <c r="AD21" i="12"/>
  <c r="AC21" i="12"/>
  <c r="AB21" i="12"/>
  <c r="AA21" i="12"/>
  <c r="AO55" i="4" l="1"/>
  <c r="AO56" i="4"/>
  <c r="AO57" i="4"/>
  <c r="AO58" i="4"/>
  <c r="AL24" i="9"/>
  <c r="AM24" i="9" s="1"/>
  <c r="AN24" i="9" s="1"/>
  <c r="AN23" i="9" s="1"/>
  <c r="AN22" i="9" s="1"/>
  <c r="AN21" i="9" s="1"/>
  <c r="AN20" i="9" s="1"/>
  <c r="AN19" i="9" s="1"/>
  <c r="AN18" i="9" s="1"/>
  <c r="AN17" i="9" s="1"/>
  <c r="AN16" i="9" s="1"/>
  <c r="AN15" i="9" s="1"/>
  <c r="AN14" i="9" s="1"/>
  <c r="AN13" i="9" s="1"/>
  <c r="AN12" i="9" s="1"/>
  <c r="AN11" i="9" s="1"/>
  <c r="AN10" i="9" s="1"/>
  <c r="AN9"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AL35" i="9"/>
  <c r="AM35" i="9" s="1"/>
  <c r="AN35" i="9" s="1"/>
  <c r="U50" i="4" s="1"/>
  <c r="AL36" i="9"/>
  <c r="AM36" i="9" s="1"/>
  <c r="AN36" i="9" s="1"/>
  <c r="U51" i="4" s="1"/>
  <c r="AL37" i="9"/>
  <c r="AM37" i="9" s="1"/>
  <c r="AN37" i="9" s="1"/>
  <c r="AL38" i="9"/>
  <c r="AM38" i="9" s="1"/>
  <c r="AN38" i="9" s="1"/>
  <c r="U53" i="4" s="1"/>
  <c r="AL39" i="9"/>
  <c r="AM39" i="9" s="1"/>
  <c r="AN39" i="9" s="1"/>
  <c r="S50" i="4" l="1"/>
  <c r="AO50" i="4"/>
  <c r="S42" i="4"/>
  <c r="AO42" i="4"/>
  <c r="S41" i="4"/>
  <c r="AO41" i="4"/>
  <c r="S48" i="4"/>
  <c r="AO48" i="4"/>
  <c r="S40" i="4"/>
  <c r="AO40" i="4"/>
  <c r="S49" i="4"/>
  <c r="AO49" i="4"/>
  <c r="S53" i="4"/>
  <c r="AO53" i="4"/>
  <c r="S51" i="4"/>
  <c r="AO51" i="4"/>
  <c r="S43" i="4"/>
  <c r="AO43" i="4"/>
  <c r="U45" i="4"/>
  <c r="U44" i="4"/>
  <c r="U47" i="4"/>
  <c r="U54" i="4"/>
  <c r="U46" i="4"/>
  <c r="U52" i="4"/>
  <c r="U39" i="4"/>
  <c r="Y29"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S54" i="4" l="1"/>
  <c r="AO54" i="4"/>
  <c r="S47" i="4"/>
  <c r="AO47" i="4"/>
  <c r="S44" i="4"/>
  <c r="AO44" i="4"/>
  <c r="S45" i="4"/>
  <c r="AO45" i="4"/>
  <c r="S52" i="4"/>
  <c r="AO52" i="4"/>
  <c r="S46" i="4"/>
  <c r="AO46" i="4"/>
  <c r="S39" i="4"/>
  <c r="AO39" i="4"/>
  <c r="Y30" i="23"/>
  <c r="B11" i="9"/>
  <c r="B12" i="9"/>
  <c r="B13" i="9"/>
  <c r="B14" i="9"/>
  <c r="B15" i="9"/>
  <c r="B16" i="9"/>
  <c r="B17" i="9"/>
  <c r="B18" i="9"/>
  <c r="B19" i="9"/>
  <c r="B20" i="9"/>
  <c r="B21" i="9"/>
  <c r="B22" i="9"/>
  <c r="B23" i="9"/>
  <c r="B24" i="9"/>
  <c r="B25" i="9"/>
  <c r="B26" i="9"/>
  <c r="B27" i="9"/>
  <c r="B28" i="9"/>
  <c r="B29" i="9"/>
  <c r="B30" i="9"/>
  <c r="B31" i="9"/>
  <c r="B32" i="9"/>
  <c r="B33" i="9"/>
  <c r="B34" i="9"/>
  <c r="S38" i="4" l="1"/>
  <c r="AO38" i="4"/>
  <c r="Y31" i="23"/>
  <c r="G21" i="1"/>
  <c r="S37" i="4" l="1"/>
  <c r="AO37" i="4"/>
  <c r="Y32" i="23"/>
  <c r="L11" i="4"/>
  <c r="M11" i="4"/>
  <c r="N11" i="4"/>
  <c r="O11" i="4"/>
  <c r="P11" i="4"/>
  <c r="Q11" i="4"/>
  <c r="R11" i="4"/>
  <c r="L12" i="4"/>
  <c r="M12" i="4"/>
  <c r="N12" i="4"/>
  <c r="O12" i="4"/>
  <c r="P12" i="4"/>
  <c r="Q12" i="4"/>
  <c r="R12" i="4"/>
  <c r="L13" i="4"/>
  <c r="M13" i="4"/>
  <c r="N13" i="4"/>
  <c r="O13" i="4"/>
  <c r="P13" i="4"/>
  <c r="Q13" i="4"/>
  <c r="R13" i="4"/>
  <c r="L14" i="4"/>
  <c r="M14" i="4"/>
  <c r="N14" i="4"/>
  <c r="O14" i="4"/>
  <c r="P14" i="4"/>
  <c r="Q14" i="4"/>
  <c r="R14" i="4"/>
  <c r="L15" i="4"/>
  <c r="M15" i="4"/>
  <c r="N15" i="4"/>
  <c r="O15" i="4"/>
  <c r="P15" i="4"/>
  <c r="Q15" i="4"/>
  <c r="R15" i="4"/>
  <c r="L16" i="4"/>
  <c r="M16" i="4"/>
  <c r="N16" i="4"/>
  <c r="O16" i="4"/>
  <c r="P16" i="4"/>
  <c r="Q16" i="4"/>
  <c r="R16" i="4"/>
  <c r="L17" i="4"/>
  <c r="M17" i="4"/>
  <c r="N17" i="4"/>
  <c r="O17" i="4"/>
  <c r="P17" i="4"/>
  <c r="Q17" i="4"/>
  <c r="R17" i="4"/>
  <c r="L18" i="4"/>
  <c r="M18" i="4"/>
  <c r="N18" i="4"/>
  <c r="O18" i="4"/>
  <c r="P18" i="4"/>
  <c r="Q18" i="4"/>
  <c r="R18" i="4"/>
  <c r="L19" i="4"/>
  <c r="M19" i="4"/>
  <c r="N19" i="4"/>
  <c r="O19" i="4"/>
  <c r="P19" i="4"/>
  <c r="Q19" i="4"/>
  <c r="R19" i="4"/>
  <c r="L21" i="4"/>
  <c r="M21" i="4"/>
  <c r="N21" i="4"/>
  <c r="O21" i="4"/>
  <c r="P21" i="4"/>
  <c r="Q21" i="4"/>
  <c r="R21" i="4"/>
  <c r="L22" i="4"/>
  <c r="M22" i="4"/>
  <c r="N22" i="4"/>
  <c r="O22" i="4"/>
  <c r="P22" i="4"/>
  <c r="Q22" i="4"/>
  <c r="R22" i="4"/>
  <c r="L23" i="4"/>
  <c r="M23" i="4"/>
  <c r="N23" i="4"/>
  <c r="O23" i="4"/>
  <c r="P23" i="4"/>
  <c r="Q23" i="4"/>
  <c r="R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L20" i="4"/>
  <c r="S36" i="4" l="1"/>
  <c r="AO36" i="4"/>
  <c r="Y33" i="23"/>
  <c r="P2" i="4"/>
  <c r="AP19" i="4" s="1"/>
  <c r="S35" i="4" l="1"/>
  <c r="AO35" i="4"/>
  <c r="Y34" i="23"/>
  <c r="T30" i="4"/>
  <c r="AP33" i="4"/>
  <c r="T53" i="4"/>
  <c r="T37" i="4"/>
  <c r="T21" i="4"/>
  <c r="T20" i="4"/>
  <c r="T47" i="4"/>
  <c r="T39" i="4"/>
  <c r="T31" i="4"/>
  <c r="T23" i="4"/>
  <c r="AP50" i="4"/>
  <c r="AP42" i="4"/>
  <c r="AP34" i="4"/>
  <c r="AP26" i="4"/>
  <c r="T38" i="4"/>
  <c r="AP24" i="4"/>
  <c r="T52" i="4"/>
  <c r="T44" i="4"/>
  <c r="T36" i="4"/>
  <c r="T28" i="4"/>
  <c r="AP20" i="4"/>
  <c r="AP47" i="4"/>
  <c r="AP39" i="4"/>
  <c r="AP31" i="4"/>
  <c r="AP23" i="4"/>
  <c r="T22" i="4"/>
  <c r="AP25" i="4"/>
  <c r="T29" i="4"/>
  <c r="AP32" i="4"/>
  <c r="T51" i="4"/>
  <c r="T43" i="4"/>
  <c r="T35" i="4"/>
  <c r="T27" i="4"/>
  <c r="AP54" i="4"/>
  <c r="AP46" i="4"/>
  <c r="AP38" i="4"/>
  <c r="AP30" i="4"/>
  <c r="AP22" i="4"/>
  <c r="T54" i="4"/>
  <c r="AP49" i="4"/>
  <c r="T45" i="4"/>
  <c r="AP48" i="4"/>
  <c r="T50" i="4"/>
  <c r="T42" i="4"/>
  <c r="T34" i="4"/>
  <c r="T26" i="4"/>
  <c r="AP53" i="4"/>
  <c r="AP45" i="4"/>
  <c r="AP37" i="4"/>
  <c r="AP29" i="4"/>
  <c r="AP21" i="4"/>
  <c r="T46" i="4"/>
  <c r="AP41" i="4"/>
  <c r="AP40" i="4"/>
  <c r="T49" i="4"/>
  <c r="T41" i="4"/>
  <c r="T33" i="4"/>
  <c r="T25" i="4"/>
  <c r="AP52" i="4"/>
  <c r="AP44" i="4"/>
  <c r="AP36" i="4"/>
  <c r="AP28" i="4"/>
  <c r="T19" i="4"/>
  <c r="T48" i="4"/>
  <c r="T40" i="4"/>
  <c r="T32" i="4"/>
  <c r="T24" i="4"/>
  <c r="AP51" i="4"/>
  <c r="AP43" i="4"/>
  <c r="AP35" i="4"/>
  <c r="AP27" i="4"/>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S34" i="4" l="1"/>
  <c r="AO34" i="4"/>
  <c r="Y35" i="23"/>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S33" i="4" l="1"/>
  <c r="AO33" i="4"/>
  <c r="Y36" i="23"/>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S32" i="4" l="1"/>
  <c r="AO32" i="4"/>
  <c r="Y37" i="23"/>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S31" i="4" l="1"/>
  <c r="AO31" i="4"/>
  <c r="Y38" i="23"/>
  <c r="J8" i="5"/>
  <c r="J45" i="5"/>
  <c r="J47" i="5"/>
  <c r="J48" i="5"/>
  <c r="J7" i="5"/>
  <c r="Y16" i="11"/>
  <c r="Y17" i="11" s="1"/>
  <c r="S30" i="4" l="1"/>
  <c r="AO30" i="4"/>
  <c r="Y39" i="23"/>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S29" i="4" l="1"/>
  <c r="AO29" i="4"/>
  <c r="Y40" i="23"/>
  <c r="S28" i="4" l="1"/>
  <c r="AO28" i="4"/>
  <c r="Y41" i="23"/>
  <c r="AF12" i="4"/>
  <c r="AP12" i="4" s="1"/>
  <c r="AP13" i="4"/>
  <c r="AP14" i="4"/>
  <c r="AP15" i="4"/>
  <c r="AP16" i="4"/>
  <c r="AP17" i="4"/>
  <c r="AP18" i="4"/>
  <c r="AF11" i="4"/>
  <c r="AP11" i="4" s="1"/>
  <c r="J12" i="4"/>
  <c r="T12" i="4" s="1"/>
  <c r="J13" i="4"/>
  <c r="T13" i="4" s="1"/>
  <c r="T14" i="4"/>
  <c r="T15" i="4"/>
  <c r="T16" i="4"/>
  <c r="T17" i="4"/>
  <c r="T18" i="4"/>
  <c r="J11" i="4"/>
  <c r="T11" i="4" s="1"/>
  <c r="S27" i="4" l="1"/>
  <c r="AO27" i="4"/>
  <c r="Y42" i="23"/>
  <c r="Q26" i="23"/>
  <c r="Q25" i="23"/>
  <c r="Q24" i="23"/>
  <c r="Q23" i="23"/>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S26" i="4" l="1"/>
  <c r="AO26" i="4"/>
  <c r="AD24" i="23"/>
  <c r="AD25" i="23"/>
  <c r="AD26" i="23"/>
  <c r="AD23" i="23"/>
  <c r="Y43" i="23"/>
  <c r="Q34" i="23"/>
  <c r="Q33" i="23"/>
  <c r="Q32" i="23"/>
  <c r="Q31" i="23"/>
  <c r="Q30" i="23"/>
  <c r="Q29" i="23"/>
  <c r="Q28" i="23"/>
  <c r="Q27" i="23"/>
  <c r="S25" i="4" l="1"/>
  <c r="AO25" i="4"/>
  <c r="AD27" i="23"/>
  <c r="AD28" i="23"/>
  <c r="Y44" i="23"/>
  <c r="W69" i="11"/>
  <c r="S24" i="4" l="1"/>
  <c r="AO24" i="4"/>
  <c r="Y45" i="23"/>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Y46" i="23" l="1"/>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Y47" i="23" l="1"/>
  <c r="Z6" i="4"/>
  <c r="Z12" i="4" s="1"/>
  <c r="AJ12" i="4" s="1"/>
  <c r="Y6" i="4"/>
  <c r="X6" i="4"/>
  <c r="AB6" i="4"/>
  <c r="AD6" i="4"/>
  <c r="AD14" i="4" s="1"/>
  <c r="AN14" i="4" s="1"/>
  <c r="Y48" i="23" l="1"/>
  <c r="AB19" i="4"/>
  <c r="AL19" i="4" s="1"/>
  <c r="AB11" i="4"/>
  <c r="AB16" i="4"/>
  <c r="AB15" i="4"/>
  <c r="AB14" i="4"/>
  <c r="AB12" i="4"/>
  <c r="AB13" i="4"/>
  <c r="X18" i="4"/>
  <c r="AH18" i="4" s="1"/>
  <c r="X15" i="4"/>
  <c r="X11" i="4"/>
  <c r="X14" i="4"/>
  <c r="X13" i="4"/>
  <c r="X16" i="4"/>
  <c r="X12" i="4"/>
  <c r="Y25" i="4"/>
  <c r="AI25" i="4" s="1"/>
  <c r="Y11" i="4"/>
  <c r="Y14" i="4"/>
  <c r="Y15"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P20" i="27"/>
  <c r="Y49" i="23" l="1"/>
  <c r="L20" i="27"/>
  <c r="O20" i="27"/>
  <c r="M20" i="27"/>
  <c r="H11" i="27"/>
  <c r="R20" i="27"/>
  <c r="K20" i="27"/>
  <c r="B11" i="27"/>
  <c r="Q20" i="27"/>
  <c r="N11" i="27"/>
  <c r="S20" i="27"/>
  <c r="I20" i="27"/>
  <c r="J20" i="27"/>
  <c r="J15" i="11"/>
  <c r="J14" i="11"/>
  <c r="J13" i="11"/>
  <c r="J12" i="11"/>
  <c r="Y50" i="23" l="1"/>
  <c r="P19" i="27"/>
  <c r="D11" i="27"/>
  <c r="G11" i="27"/>
  <c r="C11" i="27"/>
  <c r="F11" i="27"/>
  <c r="E11" i="27"/>
  <c r="I19" i="27"/>
  <c r="B9" i="27"/>
  <c r="B10" i="27"/>
  <c r="M19" i="27"/>
  <c r="P18" i="27"/>
  <c r="H9" i="27"/>
  <c r="H10" i="27"/>
  <c r="Q19" i="27"/>
  <c r="S19" i="27"/>
  <c r="K19" i="27"/>
  <c r="O19" i="27"/>
  <c r="J19" i="27"/>
  <c r="N9" i="27"/>
  <c r="N10" i="27"/>
  <c r="R19" i="27"/>
  <c r="L19" i="27"/>
  <c r="Y51" i="23" l="1"/>
  <c r="L18" i="27"/>
  <c r="O18" i="27"/>
  <c r="I18" i="27"/>
  <c r="R18" i="27"/>
  <c r="K18" i="27"/>
  <c r="P17" i="27"/>
  <c r="S18" i="27"/>
  <c r="M18" i="27"/>
  <c r="C10" i="27"/>
  <c r="G10" i="27"/>
  <c r="F10" i="27"/>
  <c r="E10" i="27"/>
  <c r="D10" i="27"/>
  <c r="J18" i="27"/>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Y52" i="23" l="1"/>
  <c r="J17" i="27"/>
  <c r="M17" i="27"/>
  <c r="R17" i="27"/>
  <c r="S17" i="27"/>
  <c r="I17" i="27"/>
  <c r="P16" i="27"/>
  <c r="O17" i="27"/>
  <c r="Q17" i="27"/>
  <c r="K17" i="27"/>
  <c r="L17" i="27"/>
  <c r="K56" i="24"/>
  <c r="K55" i="24"/>
  <c r="Y53" i="23" l="1"/>
  <c r="O16" i="27"/>
  <c r="R16" i="27"/>
  <c r="Q16" i="27"/>
  <c r="S16" i="27"/>
  <c r="L16" i="27"/>
  <c r="M16" i="27"/>
  <c r="P15" i="27"/>
  <c r="K16" i="27"/>
  <c r="I16" i="27"/>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Y54" i="23" l="1"/>
  <c r="K15" i="27"/>
  <c r="P14" i="27"/>
  <c r="Q15" i="27"/>
  <c r="S15" i="27"/>
  <c r="J15" i="27"/>
  <c r="M15" i="27"/>
  <c r="R15" i="27"/>
  <c r="I15" i="27"/>
  <c r="L15" i="27"/>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Y55" i="23" l="1"/>
  <c r="R14" i="27"/>
  <c r="Q14" i="27"/>
  <c r="O14" i="27"/>
  <c r="I14" i="27"/>
  <c r="S14" i="27"/>
  <c r="M14" i="27"/>
  <c r="P13" i="27"/>
  <c r="L14" i="27"/>
  <c r="J14" i="27"/>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K14" i="23" l="1"/>
  <c r="K10" i="23"/>
  <c r="K9" i="23"/>
  <c r="K13" i="23"/>
  <c r="K11" i="23"/>
  <c r="K12" i="23"/>
  <c r="K15" i="23"/>
  <c r="K16" i="23"/>
  <c r="K17" i="23"/>
  <c r="K18" i="23"/>
  <c r="K19" i="23"/>
  <c r="K20" i="23"/>
  <c r="K21" i="23"/>
  <c r="K22" i="23"/>
  <c r="K23" i="23"/>
  <c r="K24" i="23"/>
  <c r="K25" i="23"/>
  <c r="K26" i="23"/>
  <c r="K27" i="23"/>
  <c r="J10" i="23"/>
  <c r="J9" i="23"/>
  <c r="J11" i="23"/>
  <c r="J12" i="23"/>
  <c r="J13" i="23"/>
  <c r="Y56" i="23"/>
  <c r="AE44" i="23"/>
  <c r="AD44" i="23"/>
  <c r="AE29" i="23"/>
  <c r="AD29" i="23"/>
  <c r="AE51" i="23"/>
  <c r="AD51" i="23"/>
  <c r="AE50" i="23"/>
  <c r="AD50" i="23"/>
  <c r="AE53" i="23"/>
  <c r="AD53" i="23"/>
  <c r="AE37" i="23"/>
  <c r="AD37" i="23"/>
  <c r="AE36" i="23"/>
  <c r="AD36" i="23"/>
  <c r="AE35" i="23"/>
  <c r="AD35" i="23"/>
  <c r="AE34" i="23"/>
  <c r="AD34" i="23"/>
  <c r="AE49" i="23"/>
  <c r="AD49" i="23"/>
  <c r="AE41" i="23"/>
  <c r="AD41" i="23"/>
  <c r="AE33" i="23"/>
  <c r="AD33" i="23"/>
  <c r="AE54" i="23"/>
  <c r="AD54" i="23"/>
  <c r="AE46" i="23"/>
  <c r="AD46" i="23"/>
  <c r="AE38" i="23"/>
  <c r="AD38" i="23"/>
  <c r="AE30" i="23"/>
  <c r="AD30" i="23"/>
  <c r="AE45" i="23"/>
  <c r="AD45" i="23"/>
  <c r="AE52" i="23"/>
  <c r="AD52" i="23"/>
  <c r="AE43" i="23"/>
  <c r="AD43" i="23"/>
  <c r="AE42" i="23"/>
  <c r="AD42" i="23"/>
  <c r="AE56" i="23"/>
  <c r="AD56" i="23"/>
  <c r="AE48" i="23"/>
  <c r="AD48" i="23"/>
  <c r="AE40" i="23"/>
  <c r="AD40" i="23"/>
  <c r="AE32" i="23"/>
  <c r="AD32" i="23"/>
  <c r="AE55" i="23"/>
  <c r="AD55" i="23"/>
  <c r="AE47" i="23"/>
  <c r="AD47" i="23"/>
  <c r="AE39" i="23"/>
  <c r="AD39" i="23"/>
  <c r="AE31" i="23"/>
  <c r="AD31" i="23"/>
  <c r="L13" i="27"/>
  <c r="I13" i="27"/>
  <c r="P12" i="27"/>
  <c r="O13" i="27"/>
  <c r="K13" i="27"/>
  <c r="M13" i="27"/>
  <c r="Q13" i="27"/>
  <c r="J13" i="27"/>
  <c r="S13" i="27"/>
  <c r="R13" i="27"/>
  <c r="M60" i="23"/>
  <c r="M61" i="23" s="1"/>
  <c r="N11" i="23"/>
  <c r="K28" i="23" s="1"/>
  <c r="N13" i="23"/>
  <c r="K30" i="23" s="1"/>
  <c r="N12" i="23"/>
  <c r="J14" i="23" l="1"/>
  <c r="K29" i="23"/>
  <c r="Y57" i="23"/>
  <c r="O12" i="27"/>
  <c r="Q12" i="27"/>
  <c r="P11" i="27"/>
  <c r="J12" i="27"/>
  <c r="R12" i="27"/>
  <c r="M12" i="27"/>
  <c r="I12" i="27"/>
  <c r="S12" i="27"/>
  <c r="K12" i="27"/>
  <c r="L12" i="27"/>
  <c r="N60" i="23"/>
  <c r="M62" i="23"/>
  <c r="N61" i="23"/>
  <c r="N14" i="23"/>
  <c r="K31" i="23" s="1"/>
  <c r="Y58" i="23" l="1"/>
  <c r="AD57" i="23"/>
  <c r="AE57" i="23"/>
  <c r="S11" i="27"/>
  <c r="J11" i="27"/>
  <c r="I11" i="27"/>
  <c r="P9" i="27"/>
  <c r="P10" i="27"/>
  <c r="L11" i="27"/>
  <c r="M11" i="27"/>
  <c r="Q11" i="27"/>
  <c r="K11" i="27"/>
  <c r="R11" i="27"/>
  <c r="O11" i="27"/>
  <c r="M63" i="23"/>
  <c r="N62" i="23"/>
  <c r="N15" i="23"/>
  <c r="J15" i="23" s="1"/>
  <c r="Y59" i="23" l="1"/>
  <c r="AD58" i="23"/>
  <c r="AE58" i="23"/>
  <c r="Q9" i="27"/>
  <c r="Q10" i="27"/>
  <c r="I9" i="27"/>
  <c r="I10" i="27"/>
  <c r="K9" i="27"/>
  <c r="K10" i="27"/>
  <c r="O9" i="27"/>
  <c r="O10" i="27"/>
  <c r="M9" i="27"/>
  <c r="M10" i="27"/>
  <c r="J9" i="27"/>
  <c r="J10" i="27"/>
  <c r="R9" i="27"/>
  <c r="R10" i="27"/>
  <c r="L9" i="27"/>
  <c r="L10" i="27"/>
  <c r="S9" i="27"/>
  <c r="S10" i="27"/>
  <c r="M64" i="23"/>
  <c r="N63" i="23"/>
  <c r="N16" i="23"/>
  <c r="K32" i="23" s="1"/>
  <c r="Y60" i="23" l="1"/>
  <c r="AE59" i="23"/>
  <c r="AD59" i="23"/>
  <c r="M65" i="23"/>
  <c r="N64" i="23"/>
  <c r="N17" i="23"/>
  <c r="C8" i="23" a="1"/>
  <c r="D8" i="23" s="1"/>
  <c r="K33" i="23" l="1"/>
  <c r="J16" i="23"/>
  <c r="Y61" i="23"/>
  <c r="AE60" i="23"/>
  <c r="AD60" i="23"/>
  <c r="M66" i="23"/>
  <c r="N65" i="23"/>
  <c r="N18" i="23"/>
  <c r="J17" i="23" s="1"/>
  <c r="C8" i="23"/>
  <c r="H8" i="23"/>
  <c r="F8" i="23"/>
  <c r="K8" i="23"/>
  <c r="J8" i="23"/>
  <c r="E8" i="23"/>
  <c r="I8" i="23"/>
  <c r="G8"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Y62" i="23" l="1"/>
  <c r="AE61" i="23"/>
  <c r="AD61" i="23"/>
  <c r="M67" i="23"/>
  <c r="N66" i="23"/>
  <c r="N19" i="23"/>
  <c r="K34" i="23" s="1"/>
  <c r="Y63" i="23" l="1"/>
  <c r="AE62" i="23"/>
  <c r="AD62" i="23"/>
  <c r="M68" i="23"/>
  <c r="N67" i="23"/>
  <c r="N20" i="23"/>
  <c r="K35" i="23" s="1"/>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Y64" i="23" l="1"/>
  <c r="AE63" i="23"/>
  <c r="AD63" i="23"/>
  <c r="D56" i="4"/>
  <c r="Z56" i="4" s="1"/>
  <c r="Z55" i="4"/>
  <c r="L55" i="4"/>
  <c r="X55" i="4"/>
  <c r="M55" i="4"/>
  <c r="Y55" i="4"/>
  <c r="F56" i="4"/>
  <c r="F57" i="4" s="1"/>
  <c r="AB57" i="4" s="1"/>
  <c r="AB55" i="4"/>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Y65" i="23" l="1"/>
  <c r="AD64" i="23"/>
  <c r="AE64" i="23"/>
  <c r="G57" i="4"/>
  <c r="S57" i="4" s="1"/>
  <c r="P56" i="4"/>
  <c r="AB56" i="4"/>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J18" i="23" l="1"/>
  <c r="K36" i="23"/>
  <c r="Y66" i="23"/>
  <c r="AD65" i="23"/>
  <c r="AE65" i="23"/>
  <c r="G58" i="4"/>
  <c r="S58" i="4" s="1"/>
  <c r="N58" i="4"/>
  <c r="Z58" i="4"/>
  <c r="P58" i="4"/>
  <c r="AB58" i="4"/>
  <c r="M71" i="23"/>
  <c r="N70" i="23"/>
  <c r="N23" i="23"/>
  <c r="K37"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AE66" i="23" l="1"/>
  <c r="AD66" i="23"/>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J64" i="21" l="1" a="1"/>
  <c r="J64" i="21" s="1"/>
  <c r="J60" i="21" a="1"/>
  <c r="J60" i="21" s="1"/>
  <c r="J54" i="21" a="1"/>
  <c r="J54" i="21" s="1"/>
  <c r="J40" i="21" a="1"/>
  <c r="J40" i="21" s="1"/>
  <c r="J56" i="21" a="1"/>
  <c r="J56" i="21" s="1"/>
  <c r="J53" i="21" a="1"/>
  <c r="J53" i="21" s="1"/>
  <c r="J39" i="21" a="1"/>
  <c r="J39" i="21" s="1"/>
  <c r="J65" i="21" a="1"/>
  <c r="J65" i="21" s="1"/>
  <c r="J46" i="21" a="1"/>
  <c r="J46" i="21" s="1"/>
  <c r="J37" i="21" a="1"/>
  <c r="J37" i="21" s="1"/>
  <c r="J67" i="21" a="1"/>
  <c r="J67" i="21" s="1"/>
  <c r="J66" i="21" a="1"/>
  <c r="J66" i="21" s="1"/>
  <c r="J62" i="21" a="1"/>
  <c r="J62" i="21" s="1"/>
  <c r="J61" i="21" a="1"/>
  <c r="J61" i="21" s="1"/>
  <c r="J58" i="21" a="1"/>
  <c r="J58" i="21" s="1"/>
  <c r="J52" i="21" a="1"/>
  <c r="J52" i="21" s="1"/>
  <c r="J47" i="21" a="1"/>
  <c r="J47" i="21" s="1"/>
  <c r="J57" i="21" a="1"/>
  <c r="J57" i="21" s="1"/>
  <c r="J42" i="21" a="1"/>
  <c r="J42" i="21" s="1"/>
  <c r="J30" i="21" a="1"/>
  <c r="J30" i="21" s="1"/>
  <c r="J63" i="21" a="1"/>
  <c r="J63" i="21" s="1"/>
  <c r="J59" i="21" a="1"/>
  <c r="J59" i="21" s="1"/>
  <c r="J51" i="21" a="1"/>
  <c r="J51" i="21" s="1"/>
  <c r="J50" i="21" a="1"/>
  <c r="J50" i="21" s="1"/>
  <c r="J49" i="21" a="1"/>
  <c r="J49" i="21" s="1"/>
  <c r="J48" i="21" a="1"/>
  <c r="J48" i="21" s="1"/>
  <c r="J43" i="21" a="1"/>
  <c r="J43" i="21" s="1"/>
  <c r="J41" i="21" a="1"/>
  <c r="J41" i="21" s="1"/>
  <c r="J32" i="21" a="1"/>
  <c r="J32" i="21" s="1"/>
  <c r="J55" i="21" a="1"/>
  <c r="J55" i="21" s="1"/>
  <c r="J38" i="21" a="1"/>
  <c r="J38" i="21" s="1"/>
  <c r="J36" i="21" a="1"/>
  <c r="J36" i="21" s="1"/>
  <c r="J35" i="21" a="1"/>
  <c r="J35" i="21" s="1"/>
  <c r="J34" i="21" a="1"/>
  <c r="J34" i="21" s="1"/>
  <c r="J28" i="21" a="1"/>
  <c r="J28" i="21" s="1"/>
  <c r="J29" i="21" a="1"/>
  <c r="J29" i="21" s="1"/>
  <c r="J26" i="21" a="1"/>
  <c r="J26" i="21" s="1"/>
  <c r="J27" i="21" a="1"/>
  <c r="J27" i="21" s="1"/>
  <c r="J25" i="21" a="1"/>
  <c r="J25" i="21" s="1"/>
  <c r="J45" i="21" a="1"/>
  <c r="J45" i="21" s="1"/>
  <c r="J33" i="21" a="1"/>
  <c r="J33" i="21" s="1"/>
  <c r="J44" i="21" a="1"/>
  <c r="J44" i="21" s="1"/>
  <c r="J31" i="21" a="1"/>
  <c r="J31" i="21" s="1"/>
  <c r="J24" i="21" a="1"/>
  <c r="J24" i="21" s="1"/>
  <c r="AJ60" i="21" a="1"/>
  <c r="AJ60" i="21" s="1"/>
  <c r="AJ57" i="21" a="1"/>
  <c r="AJ57" i="21" s="1"/>
  <c r="AJ53" i="21" a="1"/>
  <c r="AJ53" i="21" s="1"/>
  <c r="AJ46" i="21" a="1"/>
  <c r="AJ46" i="21" s="1"/>
  <c r="AJ66" i="21" a="1"/>
  <c r="AJ66" i="21" s="1"/>
  <c r="AJ62" i="21" a="1"/>
  <c r="AJ62" i="21" s="1"/>
  <c r="AJ58" i="21" a="1"/>
  <c r="AJ58" i="21" s="1"/>
  <c r="AJ56" i="21" a="1"/>
  <c r="AJ56" i="21" s="1"/>
  <c r="AJ52" i="21" a="1"/>
  <c r="AJ52" i="21" s="1"/>
  <c r="AJ39" i="21" a="1"/>
  <c r="AJ39" i="21" s="1"/>
  <c r="AJ38" i="21" a="1"/>
  <c r="AJ38" i="21" s="1"/>
  <c r="AJ30" i="21" a="1"/>
  <c r="AJ30" i="21" s="1"/>
  <c r="AJ67" i="21" a="1"/>
  <c r="AJ67" i="21" s="1"/>
  <c r="AJ47" i="21" a="1"/>
  <c r="AJ47" i="21" s="1"/>
  <c r="AJ42" i="21" a="1"/>
  <c r="AJ42" i="21" s="1"/>
  <c r="AJ41" i="21" a="1"/>
  <c r="AJ41" i="21" s="1"/>
  <c r="AJ36" i="21" a="1"/>
  <c r="AJ36" i="21" s="1"/>
  <c r="AJ51" i="21" a="1"/>
  <c r="AJ51" i="21" s="1"/>
  <c r="AJ43" i="21" a="1"/>
  <c r="AJ43" i="21" s="1"/>
  <c r="AJ29" i="21" a="1"/>
  <c r="AJ29" i="21" s="1"/>
  <c r="AJ63" i="21" a="1"/>
  <c r="AJ63" i="21" s="1"/>
  <c r="AJ59" i="21" a="1"/>
  <c r="AJ59" i="21" s="1"/>
  <c r="AJ55" i="21" a="1"/>
  <c r="AJ55" i="21" s="1"/>
  <c r="AJ54" i="21" a="1"/>
  <c r="AJ54" i="21" s="1"/>
  <c r="AJ50" i="21" a="1"/>
  <c r="AJ50" i="21" s="1"/>
  <c r="AJ49" i="21" a="1"/>
  <c r="AJ49" i="21" s="1"/>
  <c r="AJ48" i="21" a="1"/>
  <c r="AJ48" i="21" s="1"/>
  <c r="AJ44" i="21" a="1"/>
  <c r="AJ44" i="21" s="1"/>
  <c r="AJ34" i="21" a="1"/>
  <c r="AJ34" i="21" s="1"/>
  <c r="AJ40" i="21" a="1"/>
  <c r="AJ40" i="21" s="1"/>
  <c r="AJ35" i="21" a="1"/>
  <c r="AJ35" i="21" s="1"/>
  <c r="AJ65" i="21" a="1"/>
  <c r="AJ65" i="21" s="1"/>
  <c r="AJ64" i="21" a="1"/>
  <c r="AJ64" i="21" s="1"/>
  <c r="AJ61" i="21" a="1"/>
  <c r="AJ61" i="21" s="1"/>
  <c r="AJ37" i="21" a="1"/>
  <c r="AJ37" i="21" s="1"/>
  <c r="AJ25" i="21" a="1"/>
  <c r="AJ25" i="21" s="1"/>
  <c r="AJ32" i="21" a="1"/>
  <c r="AJ32" i="21" s="1"/>
  <c r="AJ31" i="21" a="1"/>
  <c r="AJ31" i="21" s="1"/>
  <c r="AJ27" i="21" a="1"/>
  <c r="AJ27" i="21" s="1"/>
  <c r="AJ26" i="21" a="1"/>
  <c r="AJ26" i="21" s="1"/>
  <c r="AJ24" i="21" a="1"/>
  <c r="AJ24" i="21" s="1"/>
  <c r="AJ45" i="21" a="1"/>
  <c r="AJ45" i="21" s="1"/>
  <c r="AJ33" i="21" a="1"/>
  <c r="AJ33" i="21" s="1"/>
  <c r="AJ28" i="21" a="1"/>
  <c r="AJ28" i="21" s="1"/>
  <c r="AA31" i="21" a="1"/>
  <c r="AA31" i="21" s="1"/>
  <c r="AA37" i="21" a="1"/>
  <c r="AA37" i="21" s="1"/>
  <c r="AA32" i="21" a="1"/>
  <c r="AA32" i="21" s="1"/>
  <c r="AA30" i="21" a="1"/>
  <c r="AA30" i="21" s="1"/>
  <c r="AA36" i="21" a="1"/>
  <c r="AA36" i="21" s="1"/>
  <c r="AA29" i="21" a="1"/>
  <c r="AA29" i="21" s="1"/>
  <c r="AA28" i="21" a="1"/>
  <c r="AA28" i="21" s="1"/>
  <c r="AA35" i="21" a="1"/>
  <c r="AA35" i="21" s="1"/>
  <c r="AA34" i="21" a="1"/>
  <c r="AA34" i="21" s="1"/>
  <c r="AA25" i="21" a="1"/>
  <c r="AA25" i="21" s="1"/>
  <c r="AA33" i="21" a="1"/>
  <c r="AA33" i="21" s="1"/>
  <c r="AA27" i="21" a="1"/>
  <c r="AA27" i="21" s="1"/>
  <c r="AA26" i="21" a="1"/>
  <c r="AA26" i="21" s="1"/>
  <c r="AA24" i="21" a="1"/>
  <c r="AA24" i="21" s="1"/>
  <c r="K56" i="21" a="1"/>
  <c r="K56" i="21" s="1"/>
  <c r="K53" i="21" a="1"/>
  <c r="K53" i="21" s="1"/>
  <c r="K39" i="21" a="1"/>
  <c r="K39" i="21" s="1"/>
  <c r="K65" i="21" a="1"/>
  <c r="K65" i="21" s="1"/>
  <c r="K46" i="21" a="1"/>
  <c r="K46" i="21" s="1"/>
  <c r="K37" i="21" a="1"/>
  <c r="K37" i="21" s="1"/>
  <c r="K33" i="21" a="1"/>
  <c r="K33" i="21" s="1"/>
  <c r="K67" i="21" a="1"/>
  <c r="K67" i="21" s="1"/>
  <c r="K66" i="21" a="1"/>
  <c r="K66" i="21" s="1"/>
  <c r="K62" i="21" a="1"/>
  <c r="K62" i="21" s="1"/>
  <c r="K61" i="21" a="1"/>
  <c r="K61" i="21" s="1"/>
  <c r="K58" i="21" a="1"/>
  <c r="K58" i="21" s="1"/>
  <c r="K52" i="21" a="1"/>
  <c r="K52" i="21" s="1"/>
  <c r="K47" i="21" a="1"/>
  <c r="K47" i="21" s="1"/>
  <c r="K57" i="21" a="1"/>
  <c r="K57" i="21" s="1"/>
  <c r="K42" i="21" a="1"/>
  <c r="K42" i="21" s="1"/>
  <c r="K30" i="21" a="1"/>
  <c r="K30" i="21" s="1"/>
  <c r="K63" i="21" a="1"/>
  <c r="K63" i="21" s="1"/>
  <c r="K59" i="21" a="1"/>
  <c r="K59" i="21" s="1"/>
  <c r="K51" i="21" a="1"/>
  <c r="K51" i="21" s="1"/>
  <c r="K50" i="21" a="1"/>
  <c r="K50" i="21" s="1"/>
  <c r="K49" i="21" a="1"/>
  <c r="K49" i="21" s="1"/>
  <c r="K48" i="21" a="1"/>
  <c r="K48" i="21" s="1"/>
  <c r="K43" i="21" a="1"/>
  <c r="K43" i="21" s="1"/>
  <c r="K41" i="21" a="1"/>
  <c r="K41" i="21" s="1"/>
  <c r="K32" i="21" a="1"/>
  <c r="K32" i="21" s="1"/>
  <c r="K55" i="21" a="1"/>
  <c r="K55" i="21" s="1"/>
  <c r="K38" i="21" a="1"/>
  <c r="K38" i="21" s="1"/>
  <c r="K36" i="21" a="1"/>
  <c r="K36" i="21" s="1"/>
  <c r="K35" i="21" a="1"/>
  <c r="K35" i="21" s="1"/>
  <c r="K34" i="21" a="1"/>
  <c r="K34" i="21" s="1"/>
  <c r="K45" i="21" a="1"/>
  <c r="K45" i="21" s="1"/>
  <c r="K44" i="21" a="1"/>
  <c r="K44" i="21" s="1"/>
  <c r="K31" i="21" a="1"/>
  <c r="K31" i="21" s="1"/>
  <c r="K64" i="21" a="1"/>
  <c r="K64" i="21" s="1"/>
  <c r="K60" i="21" a="1"/>
  <c r="K60" i="21" s="1"/>
  <c r="K54" i="21" a="1"/>
  <c r="K54" i="21" s="1"/>
  <c r="K40" i="21" a="1"/>
  <c r="K40" i="21" s="1"/>
  <c r="K26" i="21" a="1"/>
  <c r="K26" i="21" s="1"/>
  <c r="K25" i="21" a="1"/>
  <c r="K25" i="21" s="1"/>
  <c r="K27" i="21" a="1"/>
  <c r="K27" i="21" s="1"/>
  <c r="K24" i="21" a="1"/>
  <c r="K24" i="21" s="1"/>
  <c r="K28" i="21" a="1"/>
  <c r="K28" i="21" s="1"/>
  <c r="K29" i="21" a="1"/>
  <c r="K29" i="21" s="1"/>
  <c r="AK32" i="21" a="1"/>
  <c r="AK32" i="21" s="1"/>
  <c r="AK29" i="21" a="1"/>
  <c r="AK29" i="21" s="1"/>
  <c r="AK31" i="21" a="1"/>
  <c r="AK31" i="21" s="1"/>
  <c r="AK27" i="21" a="1"/>
  <c r="AK27" i="21" s="1"/>
  <c r="AK26" i="21" a="1"/>
  <c r="AK26" i="21" s="1"/>
  <c r="AK25" i="21" a="1"/>
  <c r="AK25" i="21" s="1"/>
  <c r="AK30" i="21" a="1"/>
  <c r="AK30" i="21" s="1"/>
  <c r="AK24" i="21" a="1"/>
  <c r="AK24" i="21" s="1"/>
  <c r="AK33" i="21" a="1"/>
  <c r="AK33" i="21" s="1"/>
  <c r="AK28" i="21" a="1"/>
  <c r="AK28" i="21" s="1"/>
  <c r="H51" i="21" a="1"/>
  <c r="H51" i="21" s="1"/>
  <c r="H49" i="21" a="1"/>
  <c r="H49" i="21" s="1"/>
  <c r="H43" i="21" a="1"/>
  <c r="H43" i="21" s="1"/>
  <c r="H42" i="21" a="1"/>
  <c r="H42" i="21" s="1"/>
  <c r="H41" i="21" a="1"/>
  <c r="H41" i="21" s="1"/>
  <c r="H55" i="21" a="1"/>
  <c r="H55" i="21" s="1"/>
  <c r="H50" i="21" a="1"/>
  <c r="H50" i="21" s="1"/>
  <c r="H45" i="21" a="1"/>
  <c r="H45" i="21" s="1"/>
  <c r="H44" i="21" a="1"/>
  <c r="H44" i="21" s="1"/>
  <c r="H38" i="21" a="1"/>
  <c r="H38" i="21" s="1"/>
  <c r="H36" i="21" a="1"/>
  <c r="H36" i="21" s="1"/>
  <c r="H35" i="21" a="1"/>
  <c r="H35" i="21" s="1"/>
  <c r="H64" i="21" a="1"/>
  <c r="H64" i="21" s="1"/>
  <c r="H60" i="21" a="1"/>
  <c r="H60" i="21" s="1"/>
  <c r="H40" i="21" a="1"/>
  <c r="H40" i="21" s="1"/>
  <c r="H56" i="21" a="1"/>
  <c r="H56" i="21" s="1"/>
  <c r="H54" i="21" a="1"/>
  <c r="H54" i="21" s="1"/>
  <c r="H53" i="21" a="1"/>
  <c r="H53" i="21" s="1"/>
  <c r="H39" i="21" a="1"/>
  <c r="H39" i="21" s="1"/>
  <c r="H65" i="21" a="1"/>
  <c r="H65" i="21" s="1"/>
  <c r="H33" i="21" a="1"/>
  <c r="H33" i="21" s="1"/>
  <c r="H67" i="21" a="1"/>
  <c r="H67" i="21" s="1"/>
  <c r="H66" i="21" a="1"/>
  <c r="H66" i="21" s="1"/>
  <c r="H62" i="21" a="1"/>
  <c r="H62" i="21" s="1"/>
  <c r="H61" i="21" a="1"/>
  <c r="H61" i="21" s="1"/>
  <c r="H58" i="21" a="1"/>
  <c r="H58" i="21" s="1"/>
  <c r="H47" i="21" a="1"/>
  <c r="H47" i="21" s="1"/>
  <c r="H46" i="21" a="1"/>
  <c r="H46" i="21" s="1"/>
  <c r="H57" i="21" a="1"/>
  <c r="H57" i="21" s="1"/>
  <c r="H52" i="21" a="1"/>
  <c r="H52" i="21" s="1"/>
  <c r="H37" i="21" a="1"/>
  <c r="H37" i="21" s="1"/>
  <c r="H63" i="21" a="1"/>
  <c r="H63" i="21" s="1"/>
  <c r="H59" i="21" a="1"/>
  <c r="H59" i="21" s="1"/>
  <c r="H31" i="21" a="1"/>
  <c r="H31" i="21" s="1"/>
  <c r="H28" i="21" a="1"/>
  <c r="H28" i="21" s="1"/>
  <c r="H24" i="21" a="1"/>
  <c r="H24" i="21" s="1"/>
  <c r="H32" i="21" a="1"/>
  <c r="H32" i="21" s="1"/>
  <c r="H48" i="21" a="1"/>
  <c r="H48" i="21" s="1"/>
  <c r="H26" i="21" a="1"/>
  <c r="H26" i="21" s="1"/>
  <c r="H29" i="21" a="1"/>
  <c r="H29" i="21" s="1"/>
  <c r="H25" i="21" a="1"/>
  <c r="H25" i="21" s="1"/>
  <c r="H30" i="21" a="1"/>
  <c r="H30" i="21" s="1"/>
  <c r="H27" i="21" a="1"/>
  <c r="H27" i="21" s="1"/>
  <c r="H34" i="21" a="1"/>
  <c r="H34" i="21" s="1"/>
  <c r="L65" i="21" a="1"/>
  <c r="L65" i="21" s="1"/>
  <c r="L61" i="21" a="1"/>
  <c r="L61" i="21" s="1"/>
  <c r="L46" i="21" a="1"/>
  <c r="L46" i="21" s="1"/>
  <c r="L67" i="21" a="1"/>
  <c r="L67" i="21" s="1"/>
  <c r="L66" i="21" a="1"/>
  <c r="L66" i="21" s="1"/>
  <c r="L62" i="21" a="1"/>
  <c r="L62" i="21" s="1"/>
  <c r="L58" i="21" a="1"/>
  <c r="L58" i="21" s="1"/>
  <c r="L57" i="21" a="1"/>
  <c r="L57" i="21" s="1"/>
  <c r="L52" i="21" a="1"/>
  <c r="L52" i="21" s="1"/>
  <c r="L47" i="21" a="1"/>
  <c r="L47" i="21" s="1"/>
  <c r="L30" i="21" a="1"/>
  <c r="L30" i="21" s="1"/>
  <c r="L51" i="21" a="1"/>
  <c r="L51" i="21" s="1"/>
  <c r="L42" i="21" a="1"/>
  <c r="L42" i="21" s="1"/>
  <c r="L63" i="21" a="1"/>
  <c r="L63" i="21" s="1"/>
  <c r="L59" i="21" a="1"/>
  <c r="L59" i="21" s="1"/>
  <c r="L50" i="21" a="1"/>
  <c r="L50" i="21" s="1"/>
  <c r="L49" i="21" a="1"/>
  <c r="L49" i="21" s="1"/>
  <c r="L48" i="21" a="1"/>
  <c r="L48" i="21" s="1"/>
  <c r="L43" i="21" a="1"/>
  <c r="L43" i="21" s="1"/>
  <c r="L41" i="21" a="1"/>
  <c r="L41" i="21" s="1"/>
  <c r="L38" i="21" a="1"/>
  <c r="L38" i="21" s="1"/>
  <c r="L35" i="21" a="1"/>
  <c r="L35" i="21" s="1"/>
  <c r="L34" i="21" a="1"/>
  <c r="L34" i="21" s="1"/>
  <c r="L55" i="21" a="1"/>
  <c r="L55" i="21" s="1"/>
  <c r="L36" i="21" a="1"/>
  <c r="L36" i="21" s="1"/>
  <c r="L31" i="21" a="1"/>
  <c r="L31" i="21" s="1"/>
  <c r="L54" i="21" a="1"/>
  <c r="L54" i="21" s="1"/>
  <c r="L45" i="21" a="1"/>
  <c r="L45" i="21" s="1"/>
  <c r="L44" i="21" a="1"/>
  <c r="L44" i="21" s="1"/>
  <c r="L40" i="21" a="1"/>
  <c r="L40" i="21" s="1"/>
  <c r="L64" i="21" a="1"/>
  <c r="L64" i="21" s="1"/>
  <c r="L60" i="21" a="1"/>
  <c r="L60" i="21" s="1"/>
  <c r="L56" i="21" a="1"/>
  <c r="L56" i="21" s="1"/>
  <c r="L53" i="21" a="1"/>
  <c r="L53" i="21" s="1"/>
  <c r="L26" i="21" a="1"/>
  <c r="L26" i="21" s="1"/>
  <c r="L25" i="21" a="1"/>
  <c r="L25" i="21" s="1"/>
  <c r="L27" i="21" a="1"/>
  <c r="L27" i="21" s="1"/>
  <c r="L37" i="21" a="1"/>
  <c r="L37" i="21" s="1"/>
  <c r="L28" i="21" a="1"/>
  <c r="L28" i="21" s="1"/>
  <c r="L24" i="21" a="1"/>
  <c r="L24" i="21" s="1"/>
  <c r="L39" i="21" a="1"/>
  <c r="L39" i="21" s="1"/>
  <c r="L33" i="21" a="1"/>
  <c r="L33" i="21" s="1"/>
  <c r="L32" i="21" a="1"/>
  <c r="L32" i="21" s="1"/>
  <c r="L29" i="21" a="1"/>
  <c r="L29" i="21" s="1"/>
  <c r="I55" i="21" a="1"/>
  <c r="I55" i="21" s="1"/>
  <c r="I45" i="21" a="1"/>
  <c r="I45" i="21" s="1"/>
  <c r="I44" i="21" a="1"/>
  <c r="I44" i="21" s="1"/>
  <c r="I64" i="21" a="1"/>
  <c r="I64" i="21" s="1"/>
  <c r="I60" i="21" a="1"/>
  <c r="I60" i="21" s="1"/>
  <c r="I40" i="21" a="1"/>
  <c r="I40" i="21" s="1"/>
  <c r="I31" i="21" a="1"/>
  <c r="I31" i="21" s="1"/>
  <c r="I56" i="21" a="1"/>
  <c r="I56" i="21" s="1"/>
  <c r="I54" i="21" a="1"/>
  <c r="I54" i="21" s="1"/>
  <c r="I53" i="21" a="1"/>
  <c r="I53" i="21" s="1"/>
  <c r="I39" i="21" a="1"/>
  <c r="I39" i="21" s="1"/>
  <c r="I65" i="21" a="1"/>
  <c r="I65" i="21" s="1"/>
  <c r="I46" i="21" a="1"/>
  <c r="I46" i="21" s="1"/>
  <c r="I33" i="21" a="1"/>
  <c r="I33" i="21" s="1"/>
  <c r="I67" i="21" a="1"/>
  <c r="I67" i="21" s="1"/>
  <c r="I66" i="21" a="1"/>
  <c r="I66" i="21" s="1"/>
  <c r="I62" i="21" a="1"/>
  <c r="I62" i="21" s="1"/>
  <c r="I61" i="21" a="1"/>
  <c r="I61" i="21" s="1"/>
  <c r="I58" i="21" a="1"/>
  <c r="I58" i="21" s="1"/>
  <c r="I47" i="21" a="1"/>
  <c r="I47" i="21" s="1"/>
  <c r="I37" i="21" a="1"/>
  <c r="I37" i="21" s="1"/>
  <c r="I57" i="21" a="1"/>
  <c r="I57" i="21" s="1"/>
  <c r="I52" i="21" a="1"/>
  <c r="I52" i="21" s="1"/>
  <c r="I30" i="21" a="1"/>
  <c r="I30" i="21" s="1"/>
  <c r="I63" i="21" a="1"/>
  <c r="I63" i="21" s="1"/>
  <c r="I59" i="21" a="1"/>
  <c r="I59" i="21" s="1"/>
  <c r="I48" i="21" a="1"/>
  <c r="I48" i="21" s="1"/>
  <c r="I43" i="21" a="1"/>
  <c r="I43" i="21" s="1"/>
  <c r="I42" i="21" a="1"/>
  <c r="I42" i="21" s="1"/>
  <c r="I41" i="21" a="1"/>
  <c r="I41" i="21" s="1"/>
  <c r="I38" i="21" a="1"/>
  <c r="I38" i="21" s="1"/>
  <c r="I24" i="21" a="1"/>
  <c r="I24" i="21" s="1"/>
  <c r="I50" i="21" a="1"/>
  <c r="I50" i="21" s="1"/>
  <c r="I49" i="21" a="1"/>
  <c r="I49" i="21" s="1"/>
  <c r="I28" i="21" a="1"/>
  <c r="I28" i="21" s="1"/>
  <c r="I27" i="21" a="1"/>
  <c r="I27" i="21" s="1"/>
  <c r="I25" i="21" a="1"/>
  <c r="I25" i="21" s="1"/>
  <c r="I35" i="21" a="1"/>
  <c r="I35" i="21" s="1"/>
  <c r="I29" i="21" a="1"/>
  <c r="I29" i="21" s="1"/>
  <c r="I26" i="21" a="1"/>
  <c r="I26" i="21" s="1"/>
  <c r="I36" i="21" a="1"/>
  <c r="I36" i="21" s="1"/>
  <c r="I51" i="21" a="1"/>
  <c r="I51" i="21" s="1"/>
  <c r="I34" i="21" a="1"/>
  <c r="I34" i="21" s="1"/>
  <c r="I32" i="21" a="1"/>
  <c r="I32" i="21" s="1"/>
  <c r="M67" i="21" a="1"/>
  <c r="M67" i="21" s="1"/>
  <c r="M66" i="21" a="1"/>
  <c r="M66" i="21" s="1"/>
  <c r="M62" i="21" a="1"/>
  <c r="M62" i="21" s="1"/>
  <c r="M58" i="21" a="1"/>
  <c r="M58" i="21" s="1"/>
  <c r="M57" i="21" a="1"/>
  <c r="M57" i="21" s="1"/>
  <c r="M52" i="21" a="1"/>
  <c r="M52" i="21" s="1"/>
  <c r="M47" i="21" a="1"/>
  <c r="M47" i="21" s="1"/>
  <c r="M51" i="21" a="1"/>
  <c r="M51" i="21" s="1"/>
  <c r="M42" i="21" a="1"/>
  <c r="M42" i="21" s="1"/>
  <c r="M38" i="21" a="1"/>
  <c r="M38" i="21" s="1"/>
  <c r="M63" i="21" a="1"/>
  <c r="M63" i="21" s="1"/>
  <c r="M59" i="21" a="1"/>
  <c r="M59" i="21" s="1"/>
  <c r="M50" i="21" a="1"/>
  <c r="M50" i="21" s="1"/>
  <c r="M49" i="21" a="1"/>
  <c r="M49" i="21" s="1"/>
  <c r="M48" i="21" a="1"/>
  <c r="M48" i="21" s="1"/>
  <c r="M43" i="21" a="1"/>
  <c r="M43" i="21" s="1"/>
  <c r="M41" i="21" a="1"/>
  <c r="M41" i="21" s="1"/>
  <c r="M55" i="21" a="1"/>
  <c r="M55" i="21" s="1"/>
  <c r="M31" i="21" a="1"/>
  <c r="M31" i="21" s="1"/>
  <c r="M54" i="21" a="1"/>
  <c r="M54" i="21" s="1"/>
  <c r="M45" i="21" a="1"/>
  <c r="M45" i="21" s="1"/>
  <c r="M44" i="21" a="1"/>
  <c r="M44" i="21" s="1"/>
  <c r="M40" i="21" a="1"/>
  <c r="M40" i="21" s="1"/>
  <c r="M64" i="21" a="1"/>
  <c r="M64" i="21" s="1"/>
  <c r="M60" i="21" a="1"/>
  <c r="M60" i="21" s="1"/>
  <c r="M39" i="21" a="1"/>
  <c r="M39" i="21" s="1"/>
  <c r="M33" i="21" a="1"/>
  <c r="M33" i="21" s="1"/>
  <c r="M56" i="21" a="1"/>
  <c r="M56" i="21" s="1"/>
  <c r="M53" i="21" a="1"/>
  <c r="M53" i="21" s="1"/>
  <c r="M65" i="21" a="1"/>
  <c r="M65" i="21" s="1"/>
  <c r="M61" i="21" a="1"/>
  <c r="M61" i="21" s="1"/>
  <c r="M35" i="21" a="1"/>
  <c r="M35" i="21" s="1"/>
  <c r="M26" i="21" a="1"/>
  <c r="M26" i="21" s="1"/>
  <c r="M27" i="21" a="1"/>
  <c r="M27" i="21" s="1"/>
  <c r="M36" i="21" a="1"/>
  <c r="M36" i="21" s="1"/>
  <c r="M24" i="21" a="1"/>
  <c r="M24" i="21" s="1"/>
  <c r="M37" i="21" a="1"/>
  <c r="M37" i="21" s="1"/>
  <c r="M30" i="21" a="1"/>
  <c r="M30" i="21" s="1"/>
  <c r="M28" i="21" a="1"/>
  <c r="M28" i="21" s="1"/>
  <c r="M46" i="21" a="1"/>
  <c r="M46" i="21" s="1"/>
  <c r="M32" i="21" a="1"/>
  <c r="M32" i="21" s="1"/>
  <c r="M29" i="21" a="1"/>
  <c r="M29" i="21" s="1"/>
  <c r="M34" i="21" a="1"/>
  <c r="M34" i="21" s="1"/>
  <c r="M25" i="21" a="1"/>
  <c r="M25" i="21" s="1"/>
  <c r="K38" i="23"/>
  <c r="J19" i="23"/>
  <c r="AK34" i="21" s="1" a="1"/>
  <c r="AK34" i="21" s="1"/>
  <c r="AO42" i="2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M74" i="23"/>
  <c r="N73" i="23"/>
  <c r="N26" i="23"/>
  <c r="AS21" i="21"/>
  <c r="BA21" i="21"/>
  <c r="AT21" i="21"/>
  <c r="BB21" i="21"/>
  <c r="AU21" i="21"/>
  <c r="BC21" i="21"/>
  <c r="AN21" i="21"/>
  <c r="AV21" i="21"/>
  <c r="BH21" i="21"/>
  <c r="AO21" i="21"/>
  <c r="AW21" i="21"/>
  <c r="BG21" i="21"/>
  <c r="AP21" i="21"/>
  <c r="AX21" i="21"/>
  <c r="BF21" i="21"/>
  <c r="AQ21" i="21"/>
  <c r="AY21" i="21"/>
  <c r="BE21" i="21"/>
  <c r="AR21" i="21"/>
  <c r="AZ21" i="21"/>
  <c r="BD21" i="21"/>
  <c r="O21" i="21"/>
  <c r="AI45" i="21" s="1" a="1"/>
  <c r="AI45" i="21" s="1"/>
  <c r="Y21" i="21"/>
  <c r="Z21" i="21"/>
  <c r="N21" i="21"/>
  <c r="AA21" i="21"/>
  <c r="S21" i="21"/>
  <c r="AM48" i="21" s="1" a="1"/>
  <c r="AM48" i="21" s="1"/>
  <c r="AB21" i="21"/>
  <c r="R21" i="21"/>
  <c r="AL47" i="21" s="1" a="1"/>
  <c r="AL47" i="21" s="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AL24" i="21" l="1" a="1"/>
  <c r="AL24" i="21" s="1"/>
  <c r="AL46" i="21" a="1"/>
  <c r="AL46" i="21" s="1"/>
  <c r="AL48" i="21" a="1"/>
  <c r="AL48" i="21" s="1"/>
  <c r="AL29" i="21" a="1"/>
  <c r="AL29" i="21" s="1"/>
  <c r="AM29" i="21" a="1"/>
  <c r="AM29" i="21" s="1"/>
  <c r="AM38" i="21" a="1"/>
  <c r="AM38" i="21" s="1"/>
  <c r="AM45" i="21" a="1"/>
  <c r="AM45" i="21" s="1"/>
  <c r="AM55" i="21" a="1"/>
  <c r="AM55" i="21" s="1"/>
  <c r="AM41" i="21" a="1"/>
  <c r="AM41" i="21" s="1"/>
  <c r="AI27" i="21" a="1"/>
  <c r="AI27" i="21" s="1"/>
  <c r="AI34" i="21" a="1"/>
  <c r="AI34" i="21" s="1"/>
  <c r="AI43" i="21" a="1"/>
  <c r="AI43" i="21" s="1"/>
  <c r="AI38" i="21" a="1"/>
  <c r="AI38" i="21" s="1"/>
  <c r="AI46" i="21" a="1"/>
  <c r="AI46" i="21" s="1"/>
  <c r="AL32" i="21" a="1"/>
  <c r="AL32" i="21" s="1"/>
  <c r="AL53" i="21" a="1"/>
  <c r="AL53" i="21" s="1"/>
  <c r="AL49" i="21" a="1"/>
  <c r="AL49" i="21" s="1"/>
  <c r="AL41" i="21" a="1"/>
  <c r="AL41" i="21" s="1"/>
  <c r="AM24" i="21" a="1"/>
  <c r="AM24" i="21" s="1"/>
  <c r="AM28" i="21" a="1"/>
  <c r="AM28" i="21" s="1"/>
  <c r="AM39" i="21" a="1"/>
  <c r="AM39" i="21" s="1"/>
  <c r="AM57" i="21" a="1"/>
  <c r="AM57" i="21" s="1"/>
  <c r="AM59" i="21" a="1"/>
  <c r="AM59" i="21" s="1"/>
  <c r="AM42" i="21" a="1"/>
  <c r="AM42" i="21" s="1"/>
  <c r="AI31" i="21" a="1"/>
  <c r="AI31" i="21" s="1"/>
  <c r="AI44" i="21" a="1"/>
  <c r="AI44" i="21" s="1"/>
  <c r="AI36" i="21" a="1"/>
  <c r="AI36" i="21" s="1"/>
  <c r="AI53" i="21" a="1"/>
  <c r="AI53" i="21" s="1"/>
  <c r="AI57" i="21" a="1"/>
  <c r="AI57" i="21" s="1"/>
  <c r="AL27" i="21" a="1"/>
  <c r="AL27" i="21" s="1"/>
  <c r="AL52" i="21" a="1"/>
  <c r="AL52" i="21" s="1"/>
  <c r="AL31" i="21" a="1"/>
  <c r="AL31" i="21" s="1"/>
  <c r="AL42" i="21" a="1"/>
  <c r="AL42" i="21" s="1"/>
  <c r="AM26" i="21" a="1"/>
  <c r="AM26" i="21" s="1"/>
  <c r="AM31" i="21" a="1"/>
  <c r="AM31" i="21" s="1"/>
  <c r="AM46" i="21" a="1"/>
  <c r="AM46" i="21" s="1"/>
  <c r="AM61" i="21" a="1"/>
  <c r="AM61" i="21" s="1"/>
  <c r="AM63" i="21" a="1"/>
  <c r="AM63" i="21" s="1"/>
  <c r="AM43" i="21" a="1"/>
  <c r="AM43" i="21" s="1"/>
  <c r="AI26" i="21" a="1"/>
  <c r="AI26" i="21" s="1"/>
  <c r="AI48" i="21" a="1"/>
  <c r="AI48" i="21" s="1"/>
  <c r="AI47" i="21" a="1"/>
  <c r="AI47" i="21" s="1"/>
  <c r="AI56" i="21" a="1"/>
  <c r="AI56" i="21" s="1"/>
  <c r="AI60" i="21" a="1"/>
  <c r="AI60" i="21" s="1"/>
  <c r="AL36" i="21" a="1"/>
  <c r="AL36" i="21" s="1"/>
  <c r="AL35" i="21" a="1"/>
  <c r="AL35" i="21" s="1"/>
  <c r="AM25" i="21" a="1"/>
  <c r="AM25" i="21" s="1"/>
  <c r="AM32" i="21" a="1"/>
  <c r="AM32" i="21" s="1"/>
  <c r="AM53" i="21" a="1"/>
  <c r="AM53" i="21" s="1"/>
  <c r="AM64" i="21" a="1"/>
  <c r="AM64" i="21" s="1"/>
  <c r="AM34" i="21" a="1"/>
  <c r="AM34" i="21" s="1"/>
  <c r="AM51" i="21" a="1"/>
  <c r="AM51" i="21" s="1"/>
  <c r="AI28" i="21" a="1"/>
  <c r="AI28" i="21" s="1"/>
  <c r="AI51" i="21" a="1"/>
  <c r="AI51" i="21" s="1"/>
  <c r="AI67" i="21" a="1"/>
  <c r="AI67" i="21" s="1"/>
  <c r="AI58" i="21" a="1"/>
  <c r="AI58" i="21" s="1"/>
  <c r="AI40" i="21" a="1"/>
  <c r="AI40" i="21" s="1"/>
  <c r="AL38" i="21" a="1"/>
  <c r="AL38" i="21" s="1"/>
  <c r="AL33" i="21" a="1"/>
  <c r="AL33" i="21" s="1"/>
  <c r="AL37" i="21" a="1"/>
  <c r="AL37" i="21" s="1"/>
  <c r="AL51" i="21" a="1"/>
  <c r="AL51" i="21" s="1"/>
  <c r="AM27" i="21" a="1"/>
  <c r="AM27" i="21" s="1"/>
  <c r="AM52" i="21" a="1"/>
  <c r="AM52" i="21" s="1"/>
  <c r="AM60" i="21" a="1"/>
  <c r="AM60" i="21" s="1"/>
  <c r="AM65" i="21" a="1"/>
  <c r="AM65" i="21" s="1"/>
  <c r="AM44" i="21" a="1"/>
  <c r="AM44" i="21" s="1"/>
  <c r="AM67" i="21" a="1"/>
  <c r="AM67" i="21" s="1"/>
  <c r="AI35" i="21" a="1"/>
  <c r="AI35" i="21" s="1"/>
  <c r="AI49" i="21" a="1"/>
  <c r="AI49" i="21" s="1"/>
  <c r="AI59" i="21" a="1"/>
  <c r="AI59" i="21" s="1"/>
  <c r="AI30" i="21" a="1"/>
  <c r="AI30" i="21" s="1"/>
  <c r="AI62" i="21" a="1"/>
  <c r="AI62" i="21" s="1"/>
  <c r="AL25" i="21" a="1"/>
  <c r="AL25" i="21" s="1"/>
  <c r="AL45" i="21" a="1"/>
  <c r="AL45" i="21" s="1"/>
  <c r="AL34" i="21" a="1"/>
  <c r="AL34" i="21" s="1"/>
  <c r="AL43" i="21" a="1"/>
  <c r="AL43" i="21" s="1"/>
  <c r="AM35" i="21" a="1"/>
  <c r="AM35" i="21" s="1"/>
  <c r="AM56" i="21" a="1"/>
  <c r="AM56" i="21" s="1"/>
  <c r="AM66" i="21" a="1"/>
  <c r="AM66" i="21" s="1"/>
  <c r="AM37" i="21" a="1"/>
  <c r="AM37" i="21" s="1"/>
  <c r="AI50" i="21" a="1"/>
  <c r="AI50" i="21" s="1"/>
  <c r="AI54" i="21" a="1"/>
  <c r="AI54" i="21" s="1"/>
  <c r="AI63" i="21" a="1"/>
  <c r="AI63" i="21" s="1"/>
  <c r="AI32" i="21" a="1"/>
  <c r="AI32" i="21" s="1"/>
  <c r="AI66" i="21" a="1"/>
  <c r="AI66" i="21" s="1"/>
  <c r="AI61" i="21" a="1"/>
  <c r="AI61" i="21" s="1"/>
  <c r="AL26" i="21" a="1"/>
  <c r="AL26" i="21" s="1"/>
  <c r="AL30" i="21" a="1"/>
  <c r="AL30" i="21" s="1"/>
  <c r="AL40" i="21" a="1"/>
  <c r="AL40" i="21" s="1"/>
  <c r="AL50" i="21" a="1"/>
  <c r="AL50" i="21" s="1"/>
  <c r="AM36" i="21" a="1"/>
  <c r="AM36" i="21" s="1"/>
  <c r="AM58" i="21" a="1"/>
  <c r="AM58" i="21" s="1"/>
  <c r="AM30" i="21" a="1"/>
  <c r="AM30" i="21" s="1"/>
  <c r="AM40" i="21" a="1"/>
  <c r="AM40" i="21" s="1"/>
  <c r="AM50" i="21" a="1"/>
  <c r="AM50" i="21" s="1"/>
  <c r="AI24" i="21" a="1"/>
  <c r="AI24" i="21" s="1"/>
  <c r="AI55" i="21" a="1"/>
  <c r="AI55" i="21" s="1"/>
  <c r="AI41" i="21" a="1"/>
  <c r="AI41" i="21" s="1"/>
  <c r="AI39" i="21" a="1"/>
  <c r="AI39" i="21" s="1"/>
  <c r="AI33" i="21" a="1"/>
  <c r="AI33" i="21" s="1"/>
  <c r="AI64" i="21" a="1"/>
  <c r="AI64" i="21" s="1"/>
  <c r="AL28" i="21" a="1"/>
  <c r="AL28" i="21" s="1"/>
  <c r="AL39" i="21" a="1"/>
  <c r="AL39" i="21" s="1"/>
  <c r="AL44" i="21" a="1"/>
  <c r="AL44" i="21" s="1"/>
  <c r="AM47" i="21" a="1"/>
  <c r="AM47" i="21" s="1"/>
  <c r="AM62" i="21" a="1"/>
  <c r="AM62" i="21" s="1"/>
  <c r="AM33" i="21" a="1"/>
  <c r="AM33" i="21" s="1"/>
  <c r="AM49" i="21" a="1"/>
  <c r="AM49" i="21" s="1"/>
  <c r="AM54" i="21" a="1"/>
  <c r="AM54" i="21" s="1"/>
  <c r="AI25" i="21" a="1"/>
  <c r="AI25" i="21" s="1"/>
  <c r="AI29" i="21" a="1"/>
  <c r="AI29" i="21" s="1"/>
  <c r="AI42" i="21" a="1"/>
  <c r="AI42" i="21" s="1"/>
  <c r="AI52" i="21" a="1"/>
  <c r="AI52" i="21" s="1"/>
  <c r="AI37" i="21" a="1"/>
  <c r="AI37" i="21" s="1"/>
  <c r="AI65" i="21" a="1"/>
  <c r="AI65" i="21" s="1"/>
  <c r="F45" i="11"/>
  <c r="M75" i="23"/>
  <c r="N74" i="23"/>
  <c r="N27" i="23"/>
  <c r="K39" i="23" s="1"/>
  <c r="AL54" i="21" s="1" a="1"/>
  <c r="AL54" i="21" s="1"/>
  <c r="Q15" i="21"/>
  <c r="W22" i="21" s="1"/>
  <c r="Q12" i="21"/>
  <c r="T22" i="21" s="1"/>
  <c r="Q16" i="21"/>
  <c r="X22" i="21" s="1"/>
  <c r="Q14" i="21"/>
  <c r="V22" i="21" s="1"/>
  <c r="Q13" i="21"/>
  <c r="U22" i="21" s="1"/>
  <c r="F46" i="11" l="1"/>
  <c r="M76" i="23"/>
  <c r="N75" i="23"/>
  <c r="N28" i="23"/>
  <c r="J20" i="23" l="1"/>
  <c r="AK35" i="21" s="1" a="1"/>
  <c r="AK35" i="21" s="1"/>
  <c r="K40" i="23"/>
  <c r="AL55" i="21" s="1" a="1"/>
  <c r="AL55" i="21" s="1"/>
  <c r="F47" i="11"/>
  <c r="M77" i="23"/>
  <c r="N76" i="23"/>
  <c r="N29" i="23"/>
  <c r="J21" i="23" s="1"/>
  <c r="AK36" i="21" s="1" a="1"/>
  <c r="AK36" i="21" s="1"/>
  <c r="F48" i="11" l="1"/>
  <c r="M78" i="23"/>
  <c r="N77" i="23"/>
  <c r="N30" i="23"/>
  <c r="K41" i="23" s="1"/>
  <c r="AL56" i="21" s="1" a="1"/>
  <c r="AL56" i="21" s="1"/>
  <c r="F49" i="11" l="1"/>
  <c r="M79" i="23"/>
  <c r="N78" i="23"/>
  <c r="N31" i="23"/>
  <c r="D4" i="11"/>
  <c r="D3" i="11"/>
  <c r="F50" i="11" l="1"/>
  <c r="M80" i="23"/>
  <c r="N79" i="23"/>
  <c r="N32" i="23"/>
  <c r="X7" i="15"/>
  <c r="Y7" i="15"/>
  <c r="Z7" i="15"/>
  <c r="AA7" i="15"/>
  <c r="AB7" i="15"/>
  <c r="AC7" i="15"/>
  <c r="AU18" i="13"/>
  <c r="AV18" i="13" s="1"/>
  <c r="AQ17" i="13"/>
  <c r="AO18" i="13"/>
  <c r="AO17" i="13"/>
  <c r="J22" i="23" l="1"/>
  <c r="AK37" i="21" s="1" a="1"/>
  <c r="AK37" i="21" s="1"/>
  <c r="K42" i="23"/>
  <c r="AL57" i="21" s="1" a="1"/>
  <c r="AL57" i="21" s="1"/>
  <c r="AR30" i="13"/>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J23" i="23" l="1"/>
  <c r="AK38" i="21" s="1" a="1"/>
  <c r="AK38" i="21" s="1"/>
  <c r="K43" i="23"/>
  <c r="AL58" i="21" s="1" a="1"/>
  <c r="AL58" i="21" s="1"/>
  <c r="F53" i="11"/>
  <c r="M83" i="23"/>
  <c r="N82" i="23"/>
  <c r="N35" i="23"/>
  <c r="F54" i="11" l="1"/>
  <c r="M84" i="23"/>
  <c r="N83" i="23"/>
  <c r="N36" i="23"/>
  <c r="K44" i="23" s="1"/>
  <c r="AL59" i="21" s="1" a="1"/>
  <c r="AL59" i="21" s="1"/>
  <c r="J41" i="23" l="1"/>
  <c r="AK56" i="21" s="1" a="1"/>
  <c r="AK56" i="21" s="1"/>
  <c r="J34" i="23"/>
  <c r="AK49" i="21" s="1" a="1"/>
  <c r="AK49" i="21" s="1"/>
  <c r="J38" i="23"/>
  <c r="AK53" i="21" s="1" a="1"/>
  <c r="AK53" i="21" s="1"/>
  <c r="J35" i="23"/>
  <c r="AK50" i="21" s="1" a="1"/>
  <c r="AK50" i="21" s="1"/>
  <c r="J39" i="23"/>
  <c r="AK54" i="21" s="1" a="1"/>
  <c r="AK54" i="21" s="1"/>
  <c r="J40" i="23"/>
  <c r="AK55" i="21" s="1" a="1"/>
  <c r="AK55" i="21" s="1"/>
  <c r="J36" i="23"/>
  <c r="AK51" i="21" s="1" a="1"/>
  <c r="AK51" i="21" s="1"/>
  <c r="J37" i="23"/>
  <c r="AK52" i="21" s="1" a="1"/>
  <c r="AK52" i="21" s="1"/>
  <c r="J42" i="23"/>
  <c r="AK57" i="21" s="1" a="1"/>
  <c r="AK57" i="21" s="1"/>
  <c r="J43" i="23"/>
  <c r="AK58" i="21" s="1" a="1"/>
  <c r="AK58" i="21" s="1"/>
  <c r="F55" i="11"/>
  <c r="M85" i="23"/>
  <c r="N84" i="23"/>
  <c r="N37" i="23"/>
  <c r="J24" i="23" s="1"/>
  <c r="AK39" i="21" s="1" a="1"/>
  <c r="AK39" i="21" s="1"/>
  <c r="L55" i="1" l="1"/>
  <c r="F56" i="11"/>
  <c r="M86" i="23"/>
  <c r="N85" i="23"/>
  <c r="N38" i="23"/>
  <c r="K45" i="23" s="1"/>
  <c r="AL60" i="21" s="1" a="1"/>
  <c r="AL60" i="21" s="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M87" i="23"/>
  <c r="N86" i="23"/>
  <c r="N39" i="23"/>
  <c r="B26" i="11"/>
  <c r="AL23" i="11"/>
  <c r="J25" i="23" l="1"/>
  <c r="AK40" i="21" s="1" a="1"/>
  <c r="AK40" i="21" s="1"/>
  <c r="K46" i="23"/>
  <c r="AL61" i="21" s="1" a="1"/>
  <c r="AL61" i="21" s="1"/>
  <c r="F58" i="11"/>
  <c r="L56" i="1"/>
  <c r="M88" i="23"/>
  <c r="N87" i="23"/>
  <c r="N40" i="23"/>
  <c r="B27" i="11"/>
  <c r="F59" i="11" l="1"/>
  <c r="L57" i="1"/>
  <c r="M89" i="23"/>
  <c r="N88" i="23"/>
  <c r="N41" i="23"/>
  <c r="B28" i="11"/>
  <c r="AV21" i="11"/>
  <c r="J26" i="23" l="1"/>
  <c r="AK41" i="21" s="1" a="1"/>
  <c r="AK41" i="21" s="1"/>
  <c r="K47" i="23"/>
  <c r="AL62" i="21" s="1" a="1"/>
  <c r="AL62" i="21" s="1"/>
  <c r="F60" i="11"/>
  <c r="L58" i="1"/>
  <c r="M90" i="23"/>
  <c r="N89" i="23"/>
  <c r="N42" i="23"/>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8" i="23" s="1"/>
  <c r="AL63" i="21" s="1" a="1"/>
  <c r="AL63" i="21"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7" i="23" s="1"/>
  <c r="AK42" i="21" s="1" a="1"/>
  <c r="AK42" i="21" s="1"/>
  <c r="B31" i="11"/>
  <c r="AL37" i="13" l="1"/>
  <c r="F63" i="11"/>
  <c r="L61" i="1"/>
  <c r="M93" i="23"/>
  <c r="N92" i="23"/>
  <c r="N45" i="23"/>
  <c r="K49" i="23" s="1"/>
  <c r="AL64" i="21" s="1" a="1"/>
  <c r="AL64" i="21" s="1"/>
  <c r="B32" i="11"/>
  <c r="AI23" i="11"/>
  <c r="AD21" i="11"/>
  <c r="AD22" i="11"/>
  <c r="AJ23" i="11"/>
  <c r="AE21" i="11"/>
  <c r="AE22" i="11"/>
  <c r="AK23" i="11"/>
  <c r="AF21" i="11"/>
  <c r="AF22" i="11"/>
  <c r="AG21" i="11"/>
  <c r="AG22" i="11"/>
  <c r="AM23" i="11"/>
  <c r="AH21" i="11"/>
  <c r="AH22" i="11"/>
  <c r="BC21" i="11"/>
  <c r="W68" i="11"/>
  <c r="X68" i="11"/>
  <c r="F64" i="11" l="1"/>
  <c r="L62" i="1"/>
  <c r="M94" i="23"/>
  <c r="N93" i="23"/>
  <c r="N46" i="23"/>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8" i="23" l="1"/>
  <c r="AK43" i="21" s="1" a="1"/>
  <c r="AK43" i="21" s="1"/>
  <c r="K50" i="23"/>
  <c r="AL65" i="21" s="1" a="1"/>
  <c r="AL65" i="21" s="1"/>
  <c r="F65" i="1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K51" i="23" s="1"/>
  <c r="AL66" i="21" s="1" a="1"/>
  <c r="AL66" i="21" s="1"/>
  <c r="B35" i="11"/>
  <c r="AG12" i="4"/>
  <c r="AG13" i="4"/>
  <c r="AG14" i="4"/>
  <c r="AG15" i="4"/>
  <c r="B34" i="13" l="1"/>
  <c r="F67" i="11"/>
  <c r="L65" i="1"/>
  <c r="M97" i="23"/>
  <c r="N96" i="23"/>
  <c r="N49" i="23"/>
  <c r="B36" i="11"/>
  <c r="AC55" i="4"/>
  <c r="AA55" i="4"/>
  <c r="AA56" i="4" s="1"/>
  <c r="AA57" i="4" s="1"/>
  <c r="AA58" i="4" s="1"/>
  <c r="AK58" i="4" s="1"/>
  <c r="AI55" i="4"/>
  <c r="AG11" i="4"/>
  <c r="AG10" i="4"/>
  <c r="R17" i="13" l="1"/>
  <c r="Q24" i="21" a="1"/>
  <c r="Q24" i="21" s="1"/>
  <c r="P50" i="21" a="1"/>
  <c r="P50" i="21" s="1"/>
  <c r="Q56" i="21" a="1"/>
  <c r="Q56" i="21" s="1"/>
  <c r="P53" i="21" a="1"/>
  <c r="P53" i="21" s="1"/>
  <c r="P32" i="21" a="1"/>
  <c r="P32" i="21" s="1"/>
  <c r="Q49" i="21" a="1"/>
  <c r="Q49" i="21" s="1"/>
  <c r="P40" i="21" a="1"/>
  <c r="P40" i="21" s="1"/>
  <c r="P43" i="21" a="1"/>
  <c r="P43" i="21" s="1"/>
  <c r="Q38" i="21" a="1"/>
  <c r="Q38" i="21" s="1"/>
  <c r="P37" i="21" a="1"/>
  <c r="P37" i="21" s="1"/>
  <c r="Q61" i="21" a="1"/>
  <c r="Q61" i="21" s="1"/>
  <c r="S30" i="21" a="1"/>
  <c r="S30" i="21" s="1"/>
  <c r="O51" i="21" a="1"/>
  <c r="O51" i="21" s="1"/>
  <c r="R33" i="21" a="1"/>
  <c r="R33" i="21" s="1"/>
  <c r="O55" i="21" a="1"/>
  <c r="O55" i="21" s="1"/>
  <c r="R49" i="21" a="1"/>
  <c r="R49" i="21" s="1"/>
  <c r="S56" i="21" a="1"/>
  <c r="S56" i="21" s="1"/>
  <c r="N35" i="21" a="1"/>
  <c r="N35" i="21" s="1"/>
  <c r="O52" i="21" a="1"/>
  <c r="O52" i="21" s="1"/>
  <c r="N27" i="21" a="1"/>
  <c r="N27" i="21" s="1"/>
  <c r="R63" i="21" a="1"/>
  <c r="R63" i="21" s="1"/>
  <c r="R38" i="21" a="1"/>
  <c r="R38" i="21" s="1"/>
  <c r="O41" i="21" a="1"/>
  <c r="O41" i="21" s="1"/>
  <c r="R35" i="21" a="1"/>
  <c r="R35" i="21" s="1"/>
  <c r="O65" i="21" a="1"/>
  <c r="O65" i="21" s="1"/>
  <c r="O25" i="21" a="1"/>
  <c r="O25" i="21" s="1"/>
  <c r="R44" i="21" a="1"/>
  <c r="R44" i="21" s="1"/>
  <c r="N52" i="21" a="1"/>
  <c r="N52" i="21" s="1"/>
  <c r="S64" i="21" a="1"/>
  <c r="S64" i="21" s="1"/>
  <c r="S38" i="21" a="1"/>
  <c r="S38" i="21" s="1"/>
  <c r="O32" i="21" a="1"/>
  <c r="O32" i="21" s="1"/>
  <c r="R29" i="21" a="1"/>
  <c r="R29" i="21" s="1"/>
  <c r="N45" i="21" a="1"/>
  <c r="N45" i="21" s="1"/>
  <c r="O34" i="21" a="1"/>
  <c r="O34" i="21" s="1"/>
  <c r="R32" i="21" a="1"/>
  <c r="R32" i="21" s="1"/>
  <c r="O28" i="21" a="1"/>
  <c r="O28" i="21" s="1"/>
  <c r="O44" i="21" a="1"/>
  <c r="O44" i="21" s="1"/>
  <c r="S48" i="21" a="1"/>
  <c r="S48" i="21" s="1"/>
  <c r="P36" i="21" a="1"/>
  <c r="P36" i="21" s="1"/>
  <c r="P57" i="21" a="1"/>
  <c r="P57" i="21" s="1"/>
  <c r="O54" i="21" a="1"/>
  <c r="O54" i="21" s="1"/>
  <c r="R58" i="21" a="1"/>
  <c r="R58" i="21" s="1"/>
  <c r="S51" i="21" a="1"/>
  <c r="S51" i="21" s="1"/>
  <c r="Q31" i="21" a="1"/>
  <c r="Q31" i="21" s="1"/>
  <c r="P52" i="21" a="1"/>
  <c r="P52" i="21" s="1"/>
  <c r="P25" i="21" a="1"/>
  <c r="P25" i="21" s="1"/>
  <c r="Q25" i="21" a="1"/>
  <c r="Q25" i="21" s="1"/>
  <c r="P63" i="21" a="1"/>
  <c r="P63" i="21" s="1"/>
  <c r="Q47" i="21" a="1"/>
  <c r="Q47" i="21" s="1"/>
  <c r="Q54" i="21" a="1"/>
  <c r="Q54" i="21" s="1"/>
  <c r="P42" i="21" a="1"/>
  <c r="P42" i="21" s="1"/>
  <c r="Q51" i="21" a="1"/>
  <c r="Q51" i="21" s="1"/>
  <c r="P60" i="21" a="1"/>
  <c r="P60" i="21" s="1"/>
  <c r="Q39" i="21" a="1"/>
  <c r="Q39" i="21" s="1"/>
  <c r="S44" i="21" a="1"/>
  <c r="S44" i="21" s="1"/>
  <c r="O59" i="21" a="1"/>
  <c r="O59" i="21" s="1"/>
  <c r="R31" i="21" a="1"/>
  <c r="R31" i="21" s="1"/>
  <c r="R52" i="21" a="1"/>
  <c r="R52" i="21" s="1"/>
  <c r="S54" i="21" a="1"/>
  <c r="S54" i="21" s="1"/>
  <c r="R60" i="21" a="1"/>
  <c r="R60" i="21" s="1"/>
  <c r="N42" i="21" a="1"/>
  <c r="N42" i="21" s="1"/>
  <c r="O67" i="21" a="1"/>
  <c r="O67" i="21" s="1"/>
  <c r="N28" i="21" a="1"/>
  <c r="N28" i="21" s="1"/>
  <c r="R59" i="21" a="1"/>
  <c r="R59" i="21" s="1"/>
  <c r="R67" i="21" a="1"/>
  <c r="R67" i="21" s="1"/>
  <c r="O33" i="21" a="1"/>
  <c r="O33" i="21" s="1"/>
  <c r="N30" i="21" a="1"/>
  <c r="N30" i="21" s="1"/>
  <c r="O49" i="21" a="1"/>
  <c r="O49" i="21" s="1"/>
  <c r="O57" i="21" a="1"/>
  <c r="O57" i="21" s="1"/>
  <c r="O42" i="21" a="1"/>
  <c r="O42" i="21" s="1"/>
  <c r="R42" i="21" a="1"/>
  <c r="R42" i="21" s="1"/>
  <c r="N41" i="21" a="1"/>
  <c r="N41" i="21" s="1"/>
  <c r="N66" i="21" a="1"/>
  <c r="N66" i="21" s="1"/>
  <c r="S65" i="21" a="1"/>
  <c r="S65" i="21" s="1"/>
  <c r="S67" i="21" a="1"/>
  <c r="S67" i="21" s="1"/>
  <c r="O27" i="21" a="1"/>
  <c r="O27" i="21" s="1"/>
  <c r="R25" i="21" a="1"/>
  <c r="R25" i="21" s="1"/>
  <c r="R26" i="21" a="1"/>
  <c r="R26" i="21" s="1"/>
  <c r="S28" i="21" a="1"/>
  <c r="S28" i="21" s="1"/>
  <c r="S60" i="21" a="1"/>
  <c r="S60" i="21" s="1"/>
  <c r="S63" i="21" a="1"/>
  <c r="S63" i="21" s="1"/>
  <c r="N63" i="21" a="1"/>
  <c r="N63" i="21" s="1"/>
  <c r="P66" i="21" a="1"/>
  <c r="P66" i="21" s="1"/>
  <c r="P64" i="21" a="1"/>
  <c r="P64" i="21" s="1"/>
  <c r="R40" i="21" a="1"/>
  <c r="R40" i="21" s="1"/>
  <c r="N62" i="21" a="1"/>
  <c r="N62" i="21" s="1"/>
  <c r="Q32" i="21" a="1"/>
  <c r="Q32" i="21" s="1"/>
  <c r="P65" i="21" a="1"/>
  <c r="P65" i="21" s="1"/>
  <c r="P38" i="21" a="1"/>
  <c r="P38" i="21" s="1"/>
  <c r="Q26" i="21" a="1"/>
  <c r="Q26" i="21" s="1"/>
  <c r="P62" i="21" a="1"/>
  <c r="P62" i="21" s="1"/>
  <c r="Q37" i="21" a="1"/>
  <c r="Q37" i="21" s="1"/>
  <c r="Q36" i="21" a="1"/>
  <c r="Q36" i="21" s="1"/>
  <c r="P67" i="21" a="1"/>
  <c r="P67" i="21" s="1"/>
  <c r="Q58" i="21" a="1"/>
  <c r="Q58" i="21" s="1"/>
  <c r="Q43" i="21" a="1"/>
  <c r="Q43" i="21" s="1"/>
  <c r="P33" i="21" a="1"/>
  <c r="P33" i="21" s="1"/>
  <c r="S34" i="21" a="1"/>
  <c r="S34" i="21" s="1"/>
  <c r="O53" i="21" a="1"/>
  <c r="O53" i="21" s="1"/>
  <c r="R48" i="21" a="1"/>
  <c r="R48" i="21" s="1"/>
  <c r="S45" i="21" a="1"/>
  <c r="S45" i="21" s="1"/>
  <c r="N32" i="21" a="1"/>
  <c r="N32" i="21" s="1"/>
  <c r="O26" i="21" a="1"/>
  <c r="O26" i="21" s="1"/>
  <c r="R55" i="21" a="1"/>
  <c r="R55" i="21" s="1"/>
  <c r="O31" i="21" a="1"/>
  <c r="O31" i="21" s="1"/>
  <c r="N47" i="21" a="1"/>
  <c r="N47" i="21" s="1"/>
  <c r="R46" i="21" a="1"/>
  <c r="R46" i="21" s="1"/>
  <c r="R24" i="21" a="1"/>
  <c r="R24" i="21" s="1"/>
  <c r="O40" i="21" a="1"/>
  <c r="O40" i="21" s="1"/>
  <c r="N31" i="21" a="1"/>
  <c r="N31" i="21" s="1"/>
  <c r="O35" i="21" a="1"/>
  <c r="O35" i="21" s="1"/>
  <c r="O62" i="21" a="1"/>
  <c r="O62" i="21" s="1"/>
  <c r="O37" i="21" a="1"/>
  <c r="O37" i="21" s="1"/>
  <c r="R66" i="21" a="1"/>
  <c r="R66" i="21" s="1"/>
  <c r="N44" i="21" a="1"/>
  <c r="N44" i="21" s="1"/>
  <c r="N57" i="21" a="1"/>
  <c r="N57" i="21" s="1"/>
  <c r="S61" i="21" a="1"/>
  <c r="S61" i="21" s="1"/>
  <c r="S36" i="21" a="1"/>
  <c r="S36" i="21" s="1"/>
  <c r="O43" i="21" a="1"/>
  <c r="O43" i="21" s="1"/>
  <c r="R45" i="21" a="1"/>
  <c r="R45" i="21" s="1"/>
  <c r="O48" i="21" a="1"/>
  <c r="O48" i="21" s="1"/>
  <c r="R54" i="21" a="1"/>
  <c r="R54" i="21" s="1"/>
  <c r="N51" i="21" a="1"/>
  <c r="N51" i="21" s="1"/>
  <c r="S58" i="21" a="1"/>
  <c r="S58" i="21" s="1"/>
  <c r="N40" i="21" a="1"/>
  <c r="N40" i="21" s="1"/>
  <c r="Q66" i="21" a="1"/>
  <c r="Q66" i="21" s="1"/>
  <c r="Q59" i="21" a="1"/>
  <c r="Q59" i="21" s="1"/>
  <c r="N50" i="21" a="1"/>
  <c r="N50" i="21" s="1"/>
  <c r="Q63" i="21" a="1"/>
  <c r="Q63" i="21" s="1"/>
  <c r="Q27" i="21" a="1"/>
  <c r="Q27" i="21" s="1"/>
  <c r="P51" i="21" a="1"/>
  <c r="P51" i="21" s="1"/>
  <c r="Q34" i="21" a="1"/>
  <c r="Q34" i="21" s="1"/>
  <c r="P56" i="21" a="1"/>
  <c r="P56" i="21" s="1"/>
  <c r="P24" i="21" a="1"/>
  <c r="P24" i="21" s="1"/>
  <c r="Q50" i="21" a="1"/>
  <c r="Q50" i="21" s="1"/>
  <c r="P54" i="21" a="1"/>
  <c r="P54" i="21" s="1"/>
  <c r="Q65" i="21" a="1"/>
  <c r="Q65" i="21" s="1"/>
  <c r="P59" i="21" a="1"/>
  <c r="P59" i="21" s="1"/>
  <c r="P35" i="21" a="1"/>
  <c r="P35" i="21" s="1"/>
  <c r="S25" i="21" a="1"/>
  <c r="S25" i="21" s="1"/>
  <c r="O45" i="21" a="1"/>
  <c r="O45" i="21" s="1"/>
  <c r="R47" i="21" a="1"/>
  <c r="R47" i="21" s="1"/>
  <c r="S50" i="21" a="1"/>
  <c r="S50" i="21" s="1"/>
  <c r="N33" i="21" a="1"/>
  <c r="N33" i="21" s="1"/>
  <c r="O24" i="21" a="1"/>
  <c r="O24" i="21" s="1"/>
  <c r="R50" i="21" a="1"/>
  <c r="R50" i="21" s="1"/>
  <c r="N39" i="21" a="1"/>
  <c r="N39" i="21" s="1"/>
  <c r="R65" i="21" a="1"/>
  <c r="R65" i="21" s="1"/>
  <c r="R27" i="21" a="1"/>
  <c r="R27" i="21" s="1"/>
  <c r="N58" i="21" a="1"/>
  <c r="N58" i="21" s="1"/>
  <c r="O64" i="21" a="1"/>
  <c r="O64" i="21" s="1"/>
  <c r="O58" i="21" a="1"/>
  <c r="O58" i="21" s="1"/>
  <c r="O46" i="21" a="1"/>
  <c r="O46" i="21" s="1"/>
  <c r="N25" i="21" a="1"/>
  <c r="N25" i="21" s="1"/>
  <c r="N64" i="21" a="1"/>
  <c r="N64" i="21" s="1"/>
  <c r="N24" i="21" a="1"/>
  <c r="N24" i="21" s="1"/>
  <c r="S37" i="21" a="1"/>
  <c r="S37" i="21" s="1"/>
  <c r="S42" i="21" a="1"/>
  <c r="S42" i="21" s="1"/>
  <c r="O47" i="21" a="1"/>
  <c r="O47" i="21" s="1"/>
  <c r="R41" i="21" a="1"/>
  <c r="R41" i="21" s="1"/>
  <c r="O39" i="21" a="1"/>
  <c r="O39" i="21" s="1"/>
  <c r="R43" i="21" a="1"/>
  <c r="R43" i="21" s="1"/>
  <c r="N36" i="21" a="1"/>
  <c r="N36" i="21" s="1"/>
  <c r="S46" i="21" a="1"/>
  <c r="S46" i="21" s="1"/>
  <c r="R30" i="21" a="1"/>
  <c r="R30" i="21" s="1"/>
  <c r="P61" i="21" a="1"/>
  <c r="P61" i="21" s="1"/>
  <c r="Q60" i="21" a="1"/>
  <c r="Q60" i="21" s="1"/>
  <c r="N55" i="21" a="1"/>
  <c r="N55" i="21" s="1"/>
  <c r="S24" i="21" a="1"/>
  <c r="S24" i="21" s="1"/>
  <c r="O38" i="21" a="1"/>
  <c r="O38" i="21" s="1"/>
  <c r="S41" i="21" a="1"/>
  <c r="S41" i="21" s="1"/>
  <c r="N61" i="21" a="1"/>
  <c r="N61" i="21" s="1"/>
  <c r="Q62" i="21" a="1"/>
  <c r="Q62" i="21" s="1"/>
  <c r="Q44" i="21" a="1"/>
  <c r="Q44" i="21" s="1"/>
  <c r="P58" i="21" a="1"/>
  <c r="P58" i="21" s="1"/>
  <c r="Q48" i="21" a="1"/>
  <c r="Q48" i="21" s="1"/>
  <c r="Q67" i="21" a="1"/>
  <c r="Q67" i="21" s="1"/>
  <c r="P29" i="21" a="1"/>
  <c r="P29" i="21" s="1"/>
  <c r="Q52" i="21" a="1"/>
  <c r="Q52" i="21" s="1"/>
  <c r="Q45" i="21" a="1"/>
  <c r="Q45" i="21" s="1"/>
  <c r="P44" i="21" a="1"/>
  <c r="P44" i="21" s="1"/>
  <c r="Q28" i="21" a="1"/>
  <c r="Q28" i="21" s="1"/>
  <c r="P49" i="21" a="1"/>
  <c r="P49" i="21" s="1"/>
  <c r="S33" i="21" a="1"/>
  <c r="S33" i="21" s="1"/>
  <c r="R61" i="21" a="1"/>
  <c r="R61" i="21" s="1"/>
  <c r="O36" i="21" a="1"/>
  <c r="O36" i="21" s="1"/>
  <c r="O30" i="21" a="1"/>
  <c r="O30" i="21" s="1"/>
  <c r="R57" i="21" a="1"/>
  <c r="R57" i="21" s="1"/>
  <c r="N43" i="21" a="1"/>
  <c r="N43" i="21" s="1"/>
  <c r="R53" i="21" a="1"/>
  <c r="R53" i="21" s="1"/>
  <c r="S29" i="21" a="1"/>
  <c r="S29" i="21" s="1"/>
  <c r="N53" i="21" a="1"/>
  <c r="N53" i="21" s="1"/>
  <c r="O60" i="21" a="1"/>
  <c r="O60" i="21" s="1"/>
  <c r="S32" i="21" a="1"/>
  <c r="S32" i="21" s="1"/>
  <c r="N59" i="21" a="1"/>
  <c r="N59" i="21" s="1"/>
  <c r="N60" i="21" a="1"/>
  <c r="N60" i="21" s="1"/>
  <c r="S66" i="21" a="1"/>
  <c r="S66" i="21" s="1"/>
  <c r="R51" i="21" a="1"/>
  <c r="R51" i="21" s="1"/>
  <c r="N65" i="21" a="1"/>
  <c r="N65" i="21" s="1"/>
  <c r="O66" i="21" a="1"/>
  <c r="O66" i="21" s="1"/>
  <c r="S57" i="21" a="1"/>
  <c r="S57" i="21" s="1"/>
  <c r="S47" i="21" a="1"/>
  <c r="S47" i="21" s="1"/>
  <c r="Q53" i="21" a="1"/>
  <c r="Q53" i="21" s="1"/>
  <c r="Q41" i="21" a="1"/>
  <c r="Q41" i="21" s="1"/>
  <c r="P39" i="21" a="1"/>
  <c r="P39" i="21" s="1"/>
  <c r="Q57" i="21" a="1"/>
  <c r="Q57" i="21" s="1"/>
  <c r="P27" i="21" a="1"/>
  <c r="P27" i="21" s="1"/>
  <c r="P41" i="21" a="1"/>
  <c r="P41" i="21" s="1"/>
  <c r="Q46" i="21" a="1"/>
  <c r="Q46" i="21" s="1"/>
  <c r="P55" i="21" a="1"/>
  <c r="P55" i="21" s="1"/>
  <c r="P34" i="21" a="1"/>
  <c r="P34" i="21" s="1"/>
  <c r="Q64" i="21" a="1"/>
  <c r="Q64" i="21" s="1"/>
  <c r="P47" i="21" a="1"/>
  <c r="P47" i="21" s="1"/>
  <c r="S53" i="21" a="1"/>
  <c r="S53" i="21" s="1"/>
  <c r="N48" i="21" a="1"/>
  <c r="N48" i="21" s="1"/>
  <c r="O50" i="21" a="1"/>
  <c r="O50" i="21" s="1"/>
  <c r="R39" i="21" a="1"/>
  <c r="R39" i="21" s="1"/>
  <c r="N34" i="21" a="1"/>
  <c r="N34" i="21" s="1"/>
  <c r="S31" i="21" a="1"/>
  <c r="S31" i="21" s="1"/>
  <c r="R28" i="21" a="1"/>
  <c r="R28" i="21" s="1"/>
  <c r="R37" i="21" a="1"/>
  <c r="R37" i="21" s="1"/>
  <c r="S27" i="21" a="1"/>
  <c r="S27" i="21" s="1"/>
  <c r="N49" i="21" a="1"/>
  <c r="N49" i="21" s="1"/>
  <c r="O56" i="21" a="1"/>
  <c r="O56" i="21" s="1"/>
  <c r="S26" i="21" a="1"/>
  <c r="S26" i="21" s="1"/>
  <c r="N54" i="21" a="1"/>
  <c r="N54" i="21" s="1"/>
  <c r="N56" i="21" a="1"/>
  <c r="N56" i="21" s="1"/>
  <c r="N38" i="21" a="1"/>
  <c r="N38" i="21" s="1"/>
  <c r="S62" i="21" a="1"/>
  <c r="S62" i="21" s="1"/>
  <c r="S35" i="21" a="1"/>
  <c r="S35" i="21" s="1"/>
  <c r="N29" i="21" a="1"/>
  <c r="N29" i="21" s="1"/>
  <c r="S40" i="21" a="1"/>
  <c r="S40" i="21" s="1"/>
  <c r="N26" i="21" a="1"/>
  <c r="N26" i="21" s="1"/>
  <c r="S39" i="21" a="1"/>
  <c r="S39" i="21" s="1"/>
  <c r="O61" i="21" a="1"/>
  <c r="O61" i="21" s="1"/>
  <c r="N37" i="21" a="1"/>
  <c r="N37" i="21" s="1"/>
  <c r="S43" i="21" a="1"/>
  <c r="S43" i="21" s="1"/>
  <c r="P26" i="21" a="1"/>
  <c r="P26" i="21" s="1"/>
  <c r="P28" i="21" a="1"/>
  <c r="P28" i="21" s="1"/>
  <c r="S52" i="21" a="1"/>
  <c r="S52" i="21" s="1"/>
  <c r="R36" i="21" a="1"/>
  <c r="R36" i="21" s="1"/>
  <c r="S59" i="21" a="1"/>
  <c r="S59" i="21" s="1"/>
  <c r="P45" i="21" a="1"/>
  <c r="P45" i="21" s="1"/>
  <c r="Q30" i="21" a="1"/>
  <c r="Q30" i="21" s="1"/>
  <c r="Q42" i="21" a="1"/>
  <c r="Q42" i="21" s="1"/>
  <c r="Q33" i="21" a="1"/>
  <c r="Q33" i="21" s="1"/>
  <c r="Q40" i="21" a="1"/>
  <c r="Q40" i="21" s="1"/>
  <c r="P30" i="21" a="1"/>
  <c r="P30" i="21" s="1"/>
  <c r="P31" i="21" a="1"/>
  <c r="P31" i="21" s="1"/>
  <c r="Q29" i="21" a="1"/>
  <c r="Q29" i="21" s="1"/>
  <c r="P48" i="21" a="1"/>
  <c r="P48" i="21" s="1"/>
  <c r="Q55" i="21" a="1"/>
  <c r="Q55" i="21" s="1"/>
  <c r="P46" i="21" a="1"/>
  <c r="P46" i="21" s="1"/>
  <c r="S49" i="21" a="1"/>
  <c r="S49" i="21" s="1"/>
  <c r="N67" i="21" a="1"/>
  <c r="N67" i="21" s="1"/>
  <c r="O63" i="21" a="1"/>
  <c r="O63" i="21" s="1"/>
  <c r="R56" i="21" a="1"/>
  <c r="R56" i="21" s="1"/>
  <c r="N46" i="21" a="1"/>
  <c r="N46" i="21" s="1"/>
  <c r="O29" i="21" a="1"/>
  <c r="O29" i="21" s="1"/>
  <c r="R64" i="21" a="1"/>
  <c r="R64" i="21" s="1"/>
  <c r="R62" i="21" a="1"/>
  <c r="R62" i="21" s="1"/>
  <c r="Q35" i="21" a="1"/>
  <c r="Q35" i="21" s="1"/>
  <c r="R34" i="21" a="1"/>
  <c r="R34" i="21" s="1"/>
  <c r="S55" i="21" a="1"/>
  <c r="S55" i="21" s="1"/>
  <c r="J29" i="23"/>
  <c r="AK44" i="21" s="1" a="1"/>
  <c r="AK44" i="21" s="1"/>
  <c r="K52" i="23"/>
  <c r="AL67" i="21" s="1" a="1"/>
  <c r="AL67" i="21" s="1"/>
  <c r="J44" i="23"/>
  <c r="AK59" i="21" s="1" a="1"/>
  <c r="AK59" i="21" s="1"/>
  <c r="J45" i="23"/>
  <c r="AK60" i="21" s="1" a="1"/>
  <c r="AK60" i="21" s="1"/>
  <c r="J46" i="23"/>
  <c r="AK61" i="21" s="1" a="1"/>
  <c r="AK61" i="21" s="1"/>
  <c r="J47" i="23"/>
  <c r="AK62" i="21" s="1" a="1"/>
  <c r="AK62" i="21" s="1"/>
  <c r="J48" i="23"/>
  <c r="AK63" i="21" s="1" a="1"/>
  <c r="AK63" i="21" s="1"/>
  <c r="AN34" i="13"/>
  <c r="AR34" i="13"/>
  <c r="AQ34" i="13"/>
  <c r="AP34" i="13"/>
  <c r="AO34" i="13"/>
  <c r="B35" i="13"/>
  <c r="U32" i="21"/>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a="1"/>
  <c r="Z32" i="21" l="1"/>
  <c r="AF40" i="11"/>
  <c r="AH40" i="11"/>
  <c r="AH33" i="11"/>
  <c r="AF33" i="11"/>
  <c r="AG33" i="11"/>
  <c r="AF26" i="11"/>
  <c r="AG26" i="11"/>
  <c r="AH26" i="11"/>
  <c r="AH67" i="11"/>
  <c r="AF39" i="11"/>
  <c r="AH39" i="11"/>
  <c r="AG39" i="11"/>
  <c r="AH28" i="11"/>
  <c r="AF28" i="11"/>
  <c r="AG28" i="11"/>
  <c r="AF24" i="11"/>
  <c r="AH24" i="11"/>
  <c r="AG24" i="11"/>
  <c r="AH59" i="11"/>
  <c r="AH55" i="11"/>
  <c r="AF48" i="11"/>
  <c r="AH48" i="11"/>
  <c r="AF49" i="11"/>
  <c r="AH49" i="11"/>
  <c r="AF42" i="11"/>
  <c r="AH42" i="11"/>
  <c r="AH62" i="11"/>
  <c r="AH27" i="11"/>
  <c r="AG27" i="11"/>
  <c r="AF27" i="11"/>
  <c r="AH43" i="11"/>
  <c r="AF43" i="11"/>
  <c r="AF34" i="11"/>
  <c r="AG34" i="11"/>
  <c r="AH34" i="11"/>
  <c r="AF32" i="11"/>
  <c r="AH32" i="11"/>
  <c r="AG32" i="11"/>
  <c r="AH66" i="11"/>
  <c r="AF41" i="11"/>
  <c r="AH41" i="11"/>
  <c r="AG37" i="11"/>
  <c r="AH37" i="11"/>
  <c r="AF37" i="11"/>
  <c r="AH60" i="11"/>
  <c r="AG29" i="11"/>
  <c r="AH29" i="11"/>
  <c r="AF29" i="11"/>
  <c r="AH45" i="11"/>
  <c r="AF45" i="11"/>
  <c r="AH61" i="11"/>
  <c r="AH52" i="11"/>
  <c r="AH50" i="11"/>
  <c r="AF50" i="11"/>
  <c r="AH25" i="11"/>
  <c r="AF25" i="11"/>
  <c r="AG25" i="11"/>
  <c r="AH56" i="11"/>
  <c r="AH44" i="11"/>
  <c r="AF44" i="11"/>
  <c r="AF46" i="11"/>
  <c r="AH46" i="11"/>
  <c r="AF47" i="11"/>
  <c r="AH47" i="11"/>
  <c r="AH63" i="11"/>
  <c r="AH36" i="11"/>
  <c r="AF36" i="11"/>
  <c r="AG36" i="11"/>
  <c r="AH30" i="11"/>
  <c r="AG30" i="11"/>
  <c r="AF30" i="11"/>
  <c r="AH57" i="11"/>
  <c r="AH51" i="11"/>
  <c r="AH64" i="11"/>
  <c r="AH31" i="11"/>
  <c r="AF31" i="11"/>
  <c r="AG31" i="11"/>
  <c r="AH65" i="11"/>
  <c r="AF38" i="11"/>
  <c r="AG38" i="11"/>
  <c r="AH38" i="11"/>
  <c r="AH54" i="11"/>
  <c r="AH53" i="11"/>
  <c r="AH35" i="11"/>
  <c r="AG35" i="11"/>
  <c r="AF35" i="11"/>
  <c r="AH58" i="11"/>
  <c r="AQ35" i="13"/>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J30" i="23" s="1"/>
  <c r="AK45" i="21" s="1" a="1"/>
  <c r="AK45" i="21" s="1"/>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D57" i="13"/>
  <c r="AH57" i="13"/>
  <c r="AE57" i="13"/>
  <c r="AF57" i="13"/>
  <c r="X57" i="11"/>
  <c r="V46" i="11"/>
  <c r="X46" i="11"/>
  <c r="AE49" i="13"/>
  <c r="AH49" i="13"/>
  <c r="AD49" i="13"/>
  <c r="AF49" i="13"/>
  <c r="AE34" i="13"/>
  <c r="AF34" i="13"/>
  <c r="AH34" i="13"/>
  <c r="AD34" i="13"/>
  <c r="AH27" i="13"/>
  <c r="AD27" i="13"/>
  <c r="AG27" i="13"/>
  <c r="AE27" i="13"/>
  <c r="AF27" i="13"/>
  <c r="AH42" i="13"/>
  <c r="AF42" i="13"/>
  <c r="AG25" i="13"/>
  <c r="AH25" i="13"/>
  <c r="AE25" i="13"/>
  <c r="AD25" i="13"/>
  <c r="AF25" i="13"/>
  <c r="V47" i="11"/>
  <c r="X47" i="11"/>
  <c r="V43" i="11"/>
  <c r="X43" i="11"/>
  <c r="W29" i="11"/>
  <c r="X29" i="11"/>
  <c r="V29" i="11"/>
  <c r="V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V42" i="11"/>
  <c r="W24" i="11"/>
  <c r="V24" i="11"/>
  <c r="X24" i="11"/>
  <c r="X40" i="11"/>
  <c r="V40" i="11"/>
  <c r="X51" i="11"/>
  <c r="W37" i="11"/>
  <c r="X37" i="11"/>
  <c r="V37" i="11"/>
  <c r="AG24" i="13"/>
  <c r="AE24" i="13"/>
  <c r="AH24" i="13"/>
  <c r="AD24" i="13"/>
  <c r="AF24" i="13"/>
  <c r="AG30" i="13"/>
  <c r="AF30" i="13"/>
  <c r="AH30" i="13"/>
  <c r="AD30" i="13"/>
  <c r="AE30" i="13"/>
  <c r="X53" i="11"/>
  <c r="X44" i="11"/>
  <c r="V44" i="11"/>
  <c r="X36" i="11"/>
  <c r="V36" i="11"/>
  <c r="W36" i="11"/>
  <c r="V28" i="11"/>
  <c r="W28" i="11"/>
  <c r="X28" i="11"/>
  <c r="AF38" i="13"/>
  <c r="AH38" i="13"/>
  <c r="AF36" i="13"/>
  <c r="AH36" i="13"/>
  <c r="AE36" i="13"/>
  <c r="AD36" i="13"/>
  <c r="AD53" i="13"/>
  <c r="AH53" i="13"/>
  <c r="AF53" i="13"/>
  <c r="AE53" i="13"/>
  <c r="X30" i="11"/>
  <c r="V30" i="11"/>
  <c r="W30" i="11"/>
  <c r="X45" i="11"/>
  <c r="V45" i="11"/>
  <c r="AF37" i="13"/>
  <c r="AH37" i="13"/>
  <c r="V33" i="11"/>
  <c r="W33" i="11"/>
  <c r="X33" i="11"/>
  <c r="V41" i="11"/>
  <c r="X41" i="11"/>
  <c r="AH47" i="13"/>
  <c r="AF47" i="13"/>
  <c r="AE47" i="13"/>
  <c r="AF44" i="13"/>
  <c r="AH44" i="13"/>
  <c r="AD28" i="13"/>
  <c r="AG28" i="13"/>
  <c r="AH28" i="13"/>
  <c r="AE28" i="13"/>
  <c r="AF28" i="13"/>
  <c r="X31" i="11"/>
  <c r="V31" i="11"/>
  <c r="W31" i="11"/>
  <c r="AF40" i="13"/>
  <c r="AH40" i="13"/>
  <c r="AF41" i="13"/>
  <c r="AH41" i="13"/>
  <c r="AG37" i="13"/>
  <c r="W26" i="11"/>
  <c r="X26" i="11"/>
  <c r="V26" i="11"/>
  <c r="V38" i="11"/>
  <c r="W38" i="11"/>
  <c r="X38" i="11"/>
  <c r="X54" i="11"/>
  <c r="AF54" i="13"/>
  <c r="AE54" i="13"/>
  <c r="AH54" i="13"/>
  <c r="AD54" i="13"/>
  <c r="AH33" i="13"/>
  <c r="AD33" i="13"/>
  <c r="AG33" i="13"/>
  <c r="AF33" i="13"/>
  <c r="AE33" i="13"/>
  <c r="AF35" i="13"/>
  <c r="AD35" i="13"/>
  <c r="AH35" i="13"/>
  <c r="AE35" i="13"/>
  <c r="AF32" i="13"/>
  <c r="AG32" i="13"/>
  <c r="AD32" i="13"/>
  <c r="AE32" i="13"/>
  <c r="AH32" i="13"/>
  <c r="V39" i="11"/>
  <c r="W39" i="11"/>
  <c r="X39" i="11"/>
  <c r="AH43" i="13"/>
  <c r="AF43" i="13"/>
  <c r="AF52" i="13"/>
  <c r="AE52" i="13"/>
  <c r="AH52" i="13"/>
  <c r="AD52" i="13"/>
  <c r="X48" i="11"/>
  <c r="V48" i="11"/>
  <c r="W27" i="11"/>
  <c r="X27" i="11"/>
  <c r="V27" i="11"/>
  <c r="X52" i="11"/>
  <c r="AH29" i="13"/>
  <c r="AF29" i="13"/>
  <c r="AD29" i="13"/>
  <c r="AE29" i="13"/>
  <c r="AG29" i="13"/>
  <c r="W35" i="11"/>
  <c r="V35" i="11"/>
  <c r="X35" i="11"/>
  <c r="V49" i="11"/>
  <c r="X49" i="11"/>
  <c r="W34" i="11"/>
  <c r="X34" i="11"/>
  <c r="V34" i="11"/>
  <c r="X56" i="11"/>
  <c r="V50" i="11"/>
  <c r="X50" i="11"/>
  <c r="X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A24" i="11"/>
  <c r="AA34" i="11"/>
  <c r="AA33" i="11"/>
  <c r="AA28" i="11"/>
  <c r="AA36" i="11"/>
  <c r="AA32" i="11"/>
  <c r="AA26" i="11"/>
  <c r="AA29" i="11"/>
  <c r="AA25" i="11"/>
  <c r="AA31" i="11"/>
  <c r="AA30" i="11"/>
  <c r="AA35" i="11"/>
  <c r="AA37" i="11"/>
  <c r="AA27" i="11"/>
  <c r="AA49" i="21" a="1"/>
  <c r="AA51" i="21" a="1"/>
  <c r="AA46" i="21" a="1"/>
  <c r="AA55" i="21" a="1"/>
  <c r="AA40" i="21" a="1"/>
  <c r="AA47" i="21" a="1"/>
  <c r="AA38" i="21" a="1"/>
  <c r="AA44" i="21" a="1"/>
  <c r="AA43" i="21" a="1"/>
  <c r="AA45" i="21" a="1"/>
  <c r="AA57" i="21" a="1"/>
  <c r="AA42" i="21" a="1"/>
  <c r="AA54" i="21" a="1"/>
  <c r="AA50" i="21" a="1"/>
  <c r="AA39" i="21" a="1"/>
  <c r="AA48" i="21" a="1"/>
  <c r="AA53" i="21" a="1"/>
  <c r="AA41" i="21" a="1"/>
  <c r="AA52" i="21" a="1"/>
  <c r="AA56" i="21" a="1"/>
  <c r="AA42" i="11"/>
  <c r="AA46" i="11"/>
  <c r="AA50" i="11"/>
  <c r="AA39" i="11"/>
  <c r="AA41" i="11"/>
  <c r="AA49" i="11"/>
  <c r="AA43" i="11"/>
  <c r="AA40" i="11"/>
  <c r="AA47" i="11"/>
  <c r="AA48" i="11"/>
  <c r="AA44" i="11"/>
  <c r="AA45" i="11"/>
  <c r="AA38" i="11"/>
  <c r="AC27" i="21" a="1"/>
  <c r="Z44" i="21" a="1"/>
  <c r="AC38" i="21" a="1"/>
  <c r="AC39" i="21" a="1"/>
  <c r="AC51" i="21" a="1"/>
  <c r="Z50" i="21" a="1"/>
  <c r="AC47" i="21" a="1"/>
  <c r="Y43" i="21" a="1"/>
  <c r="Y45" i="21" a="1"/>
  <c r="Y52" i="21" a="1"/>
  <c r="AB47" i="21" a="1"/>
  <c r="AC32" i="21" a="1"/>
  <c r="AB38" i="21" a="1"/>
  <c r="Z52" i="21" a="1"/>
  <c r="Y49" i="21" a="1"/>
  <c r="AC42" i="21" a="1"/>
  <c r="Y30" i="21" a="1"/>
  <c r="AB31" i="11"/>
  <c r="AC48" i="11"/>
  <c r="AB32" i="11"/>
  <c r="AC26" i="11"/>
  <c r="AC34" i="11"/>
  <c r="AB29" i="11"/>
  <c r="AB44" i="21" a="1"/>
  <c r="Z28" i="21" a="1"/>
  <c r="Z47" i="21" a="1"/>
  <c r="Z51" i="21" a="1"/>
  <c r="Y46" i="21" a="1"/>
  <c r="AB27" i="11"/>
  <c r="AB25" i="11"/>
  <c r="AC30" i="11"/>
  <c r="AC55" i="11"/>
  <c r="AC35" i="11"/>
  <c r="AB39" i="11"/>
  <c r="Y25" i="21" a="1"/>
  <c r="Y42" i="21" a="1"/>
  <c r="AB24" i="21" a="1"/>
  <c r="AC35" i="21" a="1"/>
  <c r="AC37" i="21" a="1"/>
  <c r="Y40" i="21" a="1"/>
  <c r="Y44" i="21" a="1"/>
  <c r="Z24" i="21" a="1"/>
  <c r="AC36" i="21" a="1"/>
  <c r="Z45" i="21" a="1"/>
  <c r="AC46" i="21" a="1"/>
  <c r="AB28" i="11"/>
  <c r="AB33" i="11"/>
  <c r="AB48" i="21" a="1"/>
  <c r="AC28" i="21" a="1"/>
  <c r="Y50" i="21" a="1"/>
  <c r="AC55" i="21" a="1"/>
  <c r="AC29" i="21" a="1"/>
  <c r="Z42" i="21" a="1"/>
  <c r="Z41" i="21" a="1"/>
  <c r="AB39" i="21" a="1"/>
  <c r="AB42" i="21" a="1"/>
  <c r="Y24" i="21" a="1"/>
  <c r="AB27" i="21" a="1"/>
  <c r="AB36" i="21" a="1"/>
  <c r="AC26" i="21" a="1"/>
  <c r="Y27" i="21" a="1"/>
  <c r="AB45" i="21" a="1"/>
  <c r="Z35" i="21" a="1"/>
  <c r="AC24" i="21" a="1"/>
  <c r="AC46" i="11"/>
  <c r="AB36" i="11"/>
  <c r="AC44" i="11"/>
  <c r="AC38" i="11"/>
  <c r="AC57" i="11"/>
  <c r="AC56" i="11"/>
  <c r="AC56" i="21" a="1"/>
  <c r="Z48" i="21" a="1"/>
  <c r="AC36" i="11"/>
  <c r="AC52" i="21" a="1"/>
  <c r="Z49" i="21" a="1"/>
  <c r="Z54" i="21" a="1"/>
  <c r="Y32" i="21" a="1"/>
  <c r="Y54" i="21" a="1"/>
  <c r="AB40" i="21" a="1"/>
  <c r="AC50" i="21" a="1"/>
  <c r="Y53" i="21" a="1"/>
  <c r="Z29" i="21" a="1"/>
  <c r="AB28" i="21" a="1"/>
  <c r="Y33" i="21" a="1"/>
  <c r="Y34" i="21" a="1"/>
  <c r="Z25" i="21" a="1"/>
  <c r="Z55" i="21" a="1"/>
  <c r="Y57" i="21" a="1"/>
  <c r="Y29" i="21" a="1"/>
  <c r="AC47" i="11"/>
  <c r="AC54" i="11"/>
  <c r="AC53" i="11"/>
  <c r="AC27" i="11"/>
  <c r="AC33" i="11"/>
  <c r="AC39" i="11"/>
  <c r="AC40" i="11"/>
  <c r="AB24" i="11"/>
  <c r="AB37" i="11"/>
  <c r="AC45" i="11"/>
  <c r="AC52" i="11"/>
  <c r="AC31" i="11"/>
  <c r="Z37" i="21" a="1"/>
  <c r="Z56" i="21" a="1"/>
  <c r="Z36" i="21" a="1"/>
  <c r="AC28" i="11"/>
  <c r="Z34" i="21" a="1"/>
  <c r="Z46" i="21" a="1"/>
  <c r="AC33" i="21" a="1"/>
  <c r="AC30" i="21" a="1"/>
  <c r="Y39" i="21" a="1"/>
  <c r="AC54" i="21" a="1"/>
  <c r="AB49" i="21" a="1"/>
  <c r="Z38" i="21" a="1"/>
  <c r="AB30" i="21" a="1"/>
  <c r="Z31" i="21" a="1"/>
  <c r="Y41" i="21" a="1"/>
  <c r="AC45" i="21" a="1"/>
  <c r="Y26" i="21" a="1"/>
  <c r="Y36" i="21" a="1"/>
  <c r="Z43" i="21" a="1"/>
  <c r="Z27" i="21" a="1"/>
  <c r="AB37" i="21" a="1"/>
  <c r="AC53" i="21" a="1"/>
  <c r="Y51" i="21" a="1"/>
  <c r="AC57" i="21" a="1"/>
  <c r="AB35" i="21" a="1"/>
  <c r="AC25" i="21" a="1"/>
  <c r="AB41" i="21" a="1"/>
  <c r="AB43" i="21" a="1"/>
  <c r="AB46" i="21" a="1"/>
  <c r="Z39" i="21" a="1"/>
  <c r="AB25" i="21" a="1"/>
  <c r="Y48" i="21" a="1"/>
  <c r="AC49" i="21" a="1"/>
  <c r="Y37" i="21" a="1"/>
  <c r="AC31" i="21" a="1"/>
  <c r="Z33" i="21" a="1"/>
  <c r="AB50" i="21" a="1"/>
  <c r="Z26" i="21" a="1"/>
  <c r="AC49" i="11"/>
  <c r="AC50" i="11"/>
  <c r="AB38" i="11"/>
  <c r="AB34" i="11"/>
  <c r="AC24" i="11"/>
  <c r="AC43" i="11"/>
  <c r="AC41" i="11"/>
  <c r="AB26" i="11"/>
  <c r="Z40" i="21" a="1"/>
  <c r="AC48" i="21" a="1"/>
  <c r="Z57" i="21" a="1"/>
  <c r="Y38" i="21" a="1"/>
  <c r="AC37" i="11"/>
  <c r="AB35" i="11"/>
  <c r="Y55" i="21" a="1"/>
  <c r="Z53" i="21" a="1"/>
  <c r="AB32" i="21" a="1"/>
  <c r="Y28" i="21" a="1"/>
  <c r="AC40" i="21" a="1"/>
  <c r="Z30" i="21" a="1"/>
  <c r="Y35" i="21" a="1"/>
  <c r="AB26" i="21" a="1"/>
  <c r="AB31" i="21" a="1"/>
  <c r="AC34" i="21" a="1"/>
  <c r="AC43" i="21" a="1"/>
  <c r="AC44" i="21" a="1"/>
  <c r="AB29" i="21" a="1"/>
  <c r="AB33" i="21" a="1"/>
  <c r="Y31" i="21" a="1"/>
  <c r="AB34" i="21" a="1"/>
  <c r="AB30" i="11"/>
  <c r="AC51" i="11"/>
  <c r="AC42" i="11"/>
  <c r="AC25" i="11"/>
  <c r="AC32" i="11"/>
  <c r="Y47" i="21" a="1"/>
  <c r="AB51" i="21" a="1"/>
  <c r="Y56" i="21" a="1"/>
  <c r="AC41" i="21" a="1"/>
  <c r="AC29" i="11"/>
  <c r="AT32" i="21" l="1"/>
  <c r="AY32" i="21" s="1"/>
  <c r="AA56" i="21"/>
  <c r="AA53" i="21"/>
  <c r="AA46" i="21"/>
  <c r="AA42" i="21"/>
  <c r="AA43" i="21"/>
  <c r="AA38" i="21"/>
  <c r="AA40" i="21"/>
  <c r="AA51" i="21"/>
  <c r="AA52" i="21"/>
  <c r="AA48" i="21"/>
  <c r="AA50" i="21"/>
  <c r="AA57" i="21"/>
  <c r="AA44" i="21"/>
  <c r="AA47" i="21"/>
  <c r="AA55" i="21"/>
  <c r="AA49" i="21"/>
  <c r="AA41" i="21"/>
  <c r="AA39" i="21"/>
  <c r="AA54" i="21"/>
  <c r="AA45" i="21"/>
  <c r="Y30" i="21"/>
  <c r="AS30" i="21" s="1"/>
  <c r="AX30" i="21" s="1"/>
  <c r="AC53" i="21"/>
  <c r="AB34" i="21"/>
  <c r="AV34" i="21" s="1"/>
  <c r="BA34" i="21" s="1"/>
  <c r="Z26" i="21"/>
  <c r="AT26" i="21" s="1"/>
  <c r="AY26" i="21" s="1"/>
  <c r="Z27" i="21"/>
  <c r="AT27" i="21" s="1"/>
  <c r="AY27" i="21" s="1"/>
  <c r="Y29" i="21"/>
  <c r="AS29" i="21" s="1"/>
  <c r="AX29" i="21" s="1"/>
  <c r="AC24" i="21"/>
  <c r="AW24" i="21" s="1"/>
  <c r="BB24" i="21" s="1"/>
  <c r="Y46" i="21"/>
  <c r="AC42" i="21"/>
  <c r="AB48" i="21"/>
  <c r="Y31" i="21"/>
  <c r="AS31" i="21" s="1"/>
  <c r="AX31" i="21" s="1"/>
  <c r="AB50" i="21"/>
  <c r="Z43" i="21"/>
  <c r="Y57" i="21"/>
  <c r="Z35" i="21"/>
  <c r="AT35" i="21" s="1"/>
  <c r="AY35" i="21" s="1"/>
  <c r="AC46" i="21"/>
  <c r="Y49" i="21"/>
  <c r="AC41" i="21"/>
  <c r="AB33" i="21"/>
  <c r="AV33" i="21" s="1"/>
  <c r="BA33" i="21" s="1"/>
  <c r="Z33" i="21"/>
  <c r="AT33" i="21" s="1"/>
  <c r="AY33" i="21" s="1"/>
  <c r="Y36" i="21"/>
  <c r="AS36" i="21" s="1"/>
  <c r="AX36" i="21" s="1"/>
  <c r="Z55" i="21"/>
  <c r="AB45" i="21"/>
  <c r="Z51" i="21"/>
  <c r="Z52" i="21"/>
  <c r="Z48" i="21"/>
  <c r="AB29" i="21"/>
  <c r="AV29" i="21" s="1"/>
  <c r="BA29" i="21" s="1"/>
  <c r="AC31" i="21"/>
  <c r="AW31" i="21" s="1"/>
  <c r="BB31" i="21" s="1"/>
  <c r="Y26" i="21"/>
  <c r="AS26" i="21" s="1"/>
  <c r="AX26" i="21" s="1"/>
  <c r="Z25" i="21"/>
  <c r="AT25" i="21" s="1"/>
  <c r="AY25" i="21" s="1"/>
  <c r="Y27" i="21"/>
  <c r="AS27" i="21" s="1"/>
  <c r="AX27" i="21" s="1"/>
  <c r="Z47" i="21"/>
  <c r="AB38" i="21"/>
  <c r="Z36" i="21"/>
  <c r="AT36" i="21" s="1"/>
  <c r="AY36" i="21" s="1"/>
  <c r="AC44" i="21"/>
  <c r="Y37" i="21"/>
  <c r="AC45" i="21"/>
  <c r="Y34" i="21"/>
  <c r="AS34" i="21" s="1"/>
  <c r="AX34" i="21" s="1"/>
  <c r="AC26" i="21"/>
  <c r="AW26" i="21" s="1"/>
  <c r="BB26" i="21" s="1"/>
  <c r="Z28" i="21"/>
  <c r="AT28" i="21" s="1"/>
  <c r="AY28" i="21" s="1"/>
  <c r="AC32" i="21"/>
  <c r="AW32" i="21" s="1"/>
  <c r="BB32" i="21" s="1"/>
  <c r="Y38" i="21"/>
  <c r="AC43" i="21"/>
  <c r="AC49" i="21"/>
  <c r="Y41" i="21"/>
  <c r="Y33" i="21"/>
  <c r="AS33" i="21" s="1"/>
  <c r="AX33" i="21" s="1"/>
  <c r="AB36" i="21"/>
  <c r="AV36" i="21" s="1"/>
  <c r="BA36" i="21" s="1"/>
  <c r="AB44" i="21"/>
  <c r="AB47" i="21"/>
  <c r="AB37" i="21"/>
  <c r="AV37" i="21" s="1"/>
  <c r="BA37" i="21" s="1"/>
  <c r="AC34" i="21"/>
  <c r="AW34" i="21" s="1"/>
  <c r="BB34" i="21" s="1"/>
  <c r="Y48" i="21"/>
  <c r="Z31" i="21"/>
  <c r="AT31" i="21" s="1"/>
  <c r="AY31" i="21" s="1"/>
  <c r="AB28" i="21"/>
  <c r="AV28" i="21" s="1"/>
  <c r="BA28" i="21" s="1"/>
  <c r="AB27" i="21"/>
  <c r="AV27" i="21" s="1"/>
  <c r="BA27" i="21" s="1"/>
  <c r="Z45" i="21"/>
  <c r="Y52" i="21"/>
  <c r="Y56" i="21"/>
  <c r="AB31" i="21"/>
  <c r="AV31" i="21" s="1"/>
  <c r="BA31" i="21" s="1"/>
  <c r="AB25" i="21"/>
  <c r="AV25" i="21" s="1"/>
  <c r="BA25" i="21" s="1"/>
  <c r="AB30" i="21"/>
  <c r="AV30" i="21" s="1"/>
  <c r="BA30" i="21" s="1"/>
  <c r="Z29" i="21"/>
  <c r="AT29" i="21" s="1"/>
  <c r="AY29" i="21" s="1"/>
  <c r="Y24" i="21"/>
  <c r="AS24" i="21" s="1"/>
  <c r="AX24" i="21" s="1"/>
  <c r="AC36" i="21"/>
  <c r="AW36" i="21" s="1"/>
  <c r="BB36" i="21" s="1"/>
  <c r="Y45" i="21"/>
  <c r="Z56" i="21"/>
  <c r="AB26" i="21"/>
  <c r="AV26" i="21" s="1"/>
  <c r="BA26" i="21" s="1"/>
  <c r="Z39" i="21"/>
  <c r="Z38" i="21"/>
  <c r="Y53" i="21"/>
  <c r="AB42" i="21"/>
  <c r="Z24" i="21"/>
  <c r="AT24" i="21" s="1"/>
  <c r="AY24" i="21" s="1"/>
  <c r="Y43" i="21"/>
  <c r="Z57" i="21"/>
  <c r="Y35" i="21"/>
  <c r="AS35" i="21" s="1"/>
  <c r="AX35" i="21" s="1"/>
  <c r="AB46" i="21"/>
  <c r="AB49" i="21"/>
  <c r="AC50" i="21"/>
  <c r="AB39" i="21"/>
  <c r="Y44" i="21"/>
  <c r="AC47" i="21"/>
  <c r="AC56" i="21"/>
  <c r="Z30" i="21"/>
  <c r="AT30" i="21" s="1"/>
  <c r="AY30" i="21" s="1"/>
  <c r="AB43" i="21"/>
  <c r="AC54" i="21"/>
  <c r="AB40" i="21"/>
  <c r="Z41" i="21"/>
  <c r="Y40" i="21"/>
  <c r="Z50" i="21"/>
  <c r="AB51" i="21"/>
  <c r="AC40" i="21"/>
  <c r="AB41" i="21"/>
  <c r="Y39" i="21"/>
  <c r="Y54" i="21"/>
  <c r="Z42" i="21"/>
  <c r="AC37" i="21"/>
  <c r="AC51" i="21"/>
  <c r="AC48" i="21"/>
  <c r="Y28" i="21"/>
  <c r="AS28" i="21" s="1"/>
  <c r="AX28" i="21" s="1"/>
  <c r="AC25" i="21"/>
  <c r="AW25" i="21" s="1"/>
  <c r="BB25" i="21" s="1"/>
  <c r="AC30" i="21"/>
  <c r="AW30" i="21" s="1"/>
  <c r="BB30" i="21" s="1"/>
  <c r="Y32" i="21"/>
  <c r="AS32" i="21" s="1"/>
  <c r="AX32" i="21" s="1"/>
  <c r="AC29" i="21"/>
  <c r="AW29" i="21" s="1"/>
  <c r="BB29" i="21" s="1"/>
  <c r="AC35" i="21"/>
  <c r="AW35" i="21" s="1"/>
  <c r="BB35" i="21" s="1"/>
  <c r="AC39" i="21"/>
  <c r="Z37" i="21"/>
  <c r="AB32" i="21"/>
  <c r="AV32" i="21" s="1"/>
  <c r="BA32" i="21" s="1"/>
  <c r="AB35" i="21"/>
  <c r="AV35" i="21" s="1"/>
  <c r="BA35" i="21" s="1"/>
  <c r="AC33" i="21"/>
  <c r="AW33" i="21" s="1"/>
  <c r="BB33" i="21" s="1"/>
  <c r="Z54" i="21"/>
  <c r="AC55" i="21"/>
  <c r="AB24" i="21"/>
  <c r="AV24" i="21" s="1"/>
  <c r="BA24" i="21" s="1"/>
  <c r="AC38" i="21"/>
  <c r="Z40" i="21"/>
  <c r="Z53" i="21"/>
  <c r="AC57" i="21"/>
  <c r="Z46" i="21"/>
  <c r="Z49" i="21"/>
  <c r="Y50" i="21"/>
  <c r="Y42" i="21"/>
  <c r="Z44" i="21"/>
  <c r="Y47" i="21"/>
  <c r="Y55" i="21"/>
  <c r="Y51" i="21"/>
  <c r="Z34" i="21"/>
  <c r="AT34" i="21" s="1"/>
  <c r="AY34" i="21" s="1"/>
  <c r="AC52" i="21"/>
  <c r="AC28" i="21"/>
  <c r="AW28" i="21" s="1"/>
  <c r="BB28" i="21" s="1"/>
  <c r="Y25" i="21"/>
  <c r="AS25" i="21" s="1"/>
  <c r="AX25" i="21" s="1"/>
  <c r="AC27" i="21"/>
  <c r="AW27" i="21" s="1"/>
  <c r="BB27" i="21" s="1"/>
  <c r="AU45" i="11"/>
  <c r="AU24" i="11"/>
  <c r="AU48" i="11"/>
  <c r="AU33" i="11"/>
  <c r="AU35" i="11"/>
  <c r="AU44" i="11"/>
  <c r="AU29" i="11"/>
  <c r="AU27" i="11"/>
  <c r="AU25" i="11"/>
  <c r="AU41" i="11"/>
  <c r="AU28" i="11"/>
  <c r="AU39" i="11"/>
  <c r="AU36" i="11"/>
  <c r="AU37" i="11"/>
  <c r="AU34" i="11"/>
  <c r="AU32" i="11"/>
  <c r="AU49" i="11"/>
  <c r="AU26" i="11"/>
  <c r="AU40" i="11"/>
  <c r="AU38" i="11"/>
  <c r="AU31" i="11"/>
  <c r="AU30" i="11"/>
  <c r="AU47" i="11"/>
  <c r="AU46" i="11"/>
  <c r="AU50" i="11"/>
  <c r="AU43" i="11"/>
  <c r="AU42" i="11"/>
  <c r="AW36" i="11"/>
  <c r="AV28" i="11"/>
  <c r="AV36" i="11"/>
  <c r="AV33" i="11"/>
  <c r="AW26" i="11"/>
  <c r="AV25" i="11"/>
  <c r="AV38" i="11"/>
  <c r="AW50" i="11"/>
  <c r="AW48" i="11"/>
  <c r="AV35" i="11"/>
  <c r="AW47" i="11"/>
  <c r="AW40" i="11"/>
  <c r="AW38" i="11"/>
  <c r="AW25" i="11"/>
  <c r="AW30" i="11"/>
  <c r="AV31" i="11"/>
  <c r="AV26" i="11"/>
  <c r="AW28" i="11"/>
  <c r="AV39" i="11"/>
  <c r="AV37" i="11"/>
  <c r="AW32" i="11"/>
  <c r="AW33" i="11"/>
  <c r="AW43" i="11"/>
  <c r="AW46" i="11"/>
  <c r="AW52" i="11"/>
  <c r="AW54" i="11"/>
  <c r="AW53" i="11"/>
  <c r="AW35" i="11"/>
  <c r="AW37" i="11"/>
  <c r="AW29" i="11"/>
  <c r="AV34" i="11"/>
  <c r="AW39" i="11"/>
  <c r="AW42" i="11"/>
  <c r="AW55" i="11"/>
  <c r="AW51" i="11"/>
  <c r="AW24" i="11"/>
  <c r="AW57" i="11"/>
  <c r="AW31" i="11"/>
  <c r="AW34" i="11"/>
  <c r="AV27" i="11"/>
  <c r="AW27" i="11"/>
  <c r="AV24" i="11"/>
  <c r="AW56" i="11"/>
  <c r="AW41" i="11"/>
  <c r="AV32" i="11"/>
  <c r="AW45" i="11"/>
  <c r="AV29" i="11"/>
  <c r="AV30" i="11"/>
  <c r="AW49" i="11"/>
  <c r="AW44" i="11"/>
  <c r="AQ36" i="13"/>
  <c r="AR36" i="13"/>
  <c r="AP36" i="13"/>
  <c r="AO36" i="13"/>
  <c r="AN36" i="13"/>
  <c r="B37" i="13"/>
  <c r="AU29" i="21"/>
  <c r="AZ29" i="21" s="1"/>
  <c r="AU30" i="21"/>
  <c r="AZ30" i="21" s="1"/>
  <c r="AU32" i="21"/>
  <c r="AZ32" i="21" s="1"/>
  <c r="AU25" i="21"/>
  <c r="AZ25" i="21" s="1"/>
  <c r="AU26" i="21"/>
  <c r="AZ26" i="21" s="1"/>
  <c r="AU28" i="21"/>
  <c r="AZ28" i="21" s="1"/>
  <c r="AU31" i="21"/>
  <c r="AZ31" i="21" s="1"/>
  <c r="AU27" i="21"/>
  <c r="AZ27" i="21" s="1"/>
  <c r="M100" i="23"/>
  <c r="N99" i="23"/>
  <c r="N52" i="23"/>
  <c r="Q51" i="11"/>
  <c r="R40" i="11"/>
  <c r="AG40" i="11" s="1"/>
  <c r="AU36" i="21"/>
  <c r="AZ36" i="21" s="1"/>
  <c r="AU34" i="21"/>
  <c r="AZ34" i="21" s="1"/>
  <c r="AU35" i="21"/>
  <c r="AZ35" i="21" s="1"/>
  <c r="AU33" i="21"/>
  <c r="AZ33" i="21" s="1"/>
  <c r="T59" i="21"/>
  <c r="AH59" i="21"/>
  <c r="X59" i="21"/>
  <c r="AF59" i="21"/>
  <c r="V59" i="21"/>
  <c r="U59" i="21"/>
  <c r="AF58" i="21"/>
  <c r="X58" i="21"/>
  <c r="T58" i="21"/>
  <c r="V58" i="21"/>
  <c r="AH58" i="21"/>
  <c r="U58" i="21"/>
  <c r="AU24" i="21"/>
  <c r="AZ24" i="21" s="1"/>
  <c r="R41" i="11"/>
  <c r="AG41" i="11" s="1"/>
  <c r="Q52" i="11"/>
  <c r="AF52" i="11" s="1"/>
  <c r="AG52" i="21"/>
  <c r="W52" i="21"/>
  <c r="AF59" i="13"/>
  <c r="X59" i="11"/>
  <c r="X58" i="11"/>
  <c r="AF58" i="13"/>
  <c r="AH58" i="13"/>
  <c r="AE58" i="13"/>
  <c r="AD58" i="13"/>
  <c r="AG40" i="13"/>
  <c r="B39" i="11"/>
  <c r="AI57" i="4"/>
  <c r="AI58" i="4"/>
  <c r="AC58" i="4"/>
  <c r="AA59" i="21" a="1"/>
  <c r="AA58" i="21" a="1"/>
  <c r="Y58" i="21" a="1"/>
  <c r="AC58" i="11"/>
  <c r="AC59" i="21" a="1"/>
  <c r="AC59" i="11"/>
  <c r="AB52" i="21" a="1"/>
  <c r="Z59" i="21" a="1"/>
  <c r="Z58" i="21" a="1"/>
  <c r="Y59" i="21" a="1"/>
  <c r="AC58" i="21" a="1"/>
  <c r="AA58" i="21" l="1"/>
  <c r="AA59" i="21"/>
  <c r="Y58" i="21"/>
  <c r="Y59" i="21"/>
  <c r="AC58" i="21"/>
  <c r="Z58" i="21"/>
  <c r="Z59" i="21"/>
  <c r="AB52" i="21"/>
  <c r="AC59" i="21"/>
  <c r="V51" i="11"/>
  <c r="AF51" i="11"/>
  <c r="AW58" i="11"/>
  <c r="AW59" i="11"/>
  <c r="AO37" i="13"/>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31" i="23" s="1"/>
  <c r="AK46" i="21" s="1" a="1"/>
  <c r="AK46" i="21" s="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V52" i="11"/>
  <c r="Q53" i="11"/>
  <c r="AF53" i="11" s="1"/>
  <c r="R42" i="11"/>
  <c r="AG42" i="11" s="1"/>
  <c r="AG53" i="21"/>
  <c r="W53" i="21"/>
  <c r="W41" i="11"/>
  <c r="X60" i="11"/>
  <c r="AE60" i="13"/>
  <c r="AD60" i="13"/>
  <c r="AF60" i="13"/>
  <c r="AH60" i="13"/>
  <c r="AG41" i="13"/>
  <c r="B40" i="11"/>
  <c r="AA60" i="21" a="1"/>
  <c r="AA52" i="11"/>
  <c r="AA51" i="11"/>
  <c r="AC60" i="11"/>
  <c r="AB41" i="11"/>
  <c r="AB40" i="11"/>
  <c r="AC60" i="21" a="1"/>
  <c r="AB53" i="21" a="1"/>
  <c r="Y60" i="21" a="1"/>
  <c r="Z60" i="21" a="1"/>
  <c r="AA60" i="21" l="1"/>
  <c r="AC60" i="21"/>
  <c r="Y60" i="21"/>
  <c r="Z60" i="21"/>
  <c r="AB53" i="21"/>
  <c r="AU51" i="11"/>
  <c r="AU52" i="11"/>
  <c r="AV40" i="11"/>
  <c r="AW60" i="11"/>
  <c r="AV41" i="11"/>
  <c r="AR38" i="13"/>
  <c r="AO38" i="13"/>
  <c r="AQ38" i="13"/>
  <c r="AN38" i="13"/>
  <c r="AP38" i="1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R43" i="11"/>
  <c r="AG43" i="11" s="1"/>
  <c r="Q54" i="11"/>
  <c r="AF54" i="11" s="1"/>
  <c r="AG54" i="21"/>
  <c r="W54" i="21"/>
  <c r="W42" i="11"/>
  <c r="AD61" i="13"/>
  <c r="AE61" i="13"/>
  <c r="AH61" i="13"/>
  <c r="AF61" i="13"/>
  <c r="X61" i="11"/>
  <c r="B41" i="11"/>
  <c r="AA61" i="21" a="1"/>
  <c r="AA53" i="11"/>
  <c r="AB42" i="11"/>
  <c r="AC61" i="11"/>
  <c r="AB54" i="21" a="1"/>
  <c r="Z61" i="21" a="1"/>
  <c r="AC61" i="21" a="1"/>
  <c r="Y61" i="21" a="1"/>
  <c r="AA61" i="21" l="1"/>
  <c r="AC61" i="21"/>
  <c r="Y61" i="21"/>
  <c r="AB54" i="21"/>
  <c r="Z61" i="21"/>
  <c r="AU53" i="11"/>
  <c r="AV42" i="11"/>
  <c r="AW61" i="11"/>
  <c r="AN39" i="13"/>
  <c r="AR39" i="13"/>
  <c r="AO39" i="13"/>
  <c r="AP39" i="13"/>
  <c r="AQ39" i="13"/>
  <c r="B40" i="13"/>
  <c r="M103" i="23"/>
  <c r="N102" i="23"/>
  <c r="N55" i="23"/>
  <c r="V62" i="21"/>
  <c r="T62" i="21"/>
  <c r="AF62" i="21"/>
  <c r="X62" i="21"/>
  <c r="U62" i="21"/>
  <c r="AH62" i="21"/>
  <c r="V54" i="11"/>
  <c r="Q55" i="11"/>
  <c r="AF55" i="11" s="1"/>
  <c r="R44" i="11"/>
  <c r="AG44" i="11" s="1"/>
  <c r="AG55" i="21"/>
  <c r="W55" i="21"/>
  <c r="W43" i="11"/>
  <c r="AD62" i="13"/>
  <c r="AE62" i="13"/>
  <c r="AF62" i="13"/>
  <c r="AH62" i="13"/>
  <c r="X62" i="11"/>
  <c r="B42" i="11"/>
  <c r="AA62" i="21" a="1"/>
  <c r="AA54" i="11"/>
  <c r="AC62" i="11"/>
  <c r="AB55" i="21" a="1"/>
  <c r="AB43" i="11"/>
  <c r="AC62" i="21" a="1"/>
  <c r="Y62" i="21" a="1"/>
  <c r="Z62" i="21" a="1"/>
  <c r="AA62" i="21" l="1"/>
  <c r="AB55" i="21"/>
  <c r="Z62" i="21"/>
  <c r="AC62" i="21"/>
  <c r="Y62" i="21"/>
  <c r="AU54" i="11"/>
  <c r="AV43" i="11"/>
  <c r="AW62" i="11"/>
  <c r="AN40" i="13"/>
  <c r="AO40" i="13"/>
  <c r="AQ40" i="13"/>
  <c r="AR40" i="13"/>
  <c r="AP40" i="13"/>
  <c r="B41" i="13"/>
  <c r="N103" i="23"/>
  <c r="M104" i="23"/>
  <c r="N56" i="23"/>
  <c r="J32" i="23" s="1"/>
  <c r="AK47" i="21" s="1" a="1"/>
  <c r="AK47" i="21" s="1"/>
  <c r="V63" i="21"/>
  <c r="T63" i="21"/>
  <c r="AF63" i="21"/>
  <c r="X63" i="21"/>
  <c r="AH63" i="21"/>
  <c r="U63" i="21"/>
  <c r="V55" i="11"/>
  <c r="Q56" i="11"/>
  <c r="AF56" i="11" s="1"/>
  <c r="R45" i="11"/>
  <c r="AG45" i="11" s="1"/>
  <c r="W56" i="21"/>
  <c r="AG56" i="21"/>
  <c r="W44" i="11"/>
  <c r="X63" i="11"/>
  <c r="AE63" i="13"/>
  <c r="AD63" i="13"/>
  <c r="AH63" i="13"/>
  <c r="AF63" i="13"/>
  <c r="B43" i="11"/>
  <c r="AA63" i="21" a="1"/>
  <c r="AA55" i="11"/>
  <c r="AC63" i="11"/>
  <c r="AB44" i="11"/>
  <c r="AB56" i="21" a="1"/>
  <c r="Y63" i="21" a="1"/>
  <c r="AC63" i="21" a="1"/>
  <c r="Z63" i="21" a="1"/>
  <c r="AA63" i="21" l="1"/>
  <c r="Z63" i="21"/>
  <c r="AC63" i="21"/>
  <c r="AB56" i="21"/>
  <c r="Y63" i="21"/>
  <c r="AU55" i="11"/>
  <c r="AV44" i="11"/>
  <c r="AW63" i="11"/>
  <c r="AN41" i="13"/>
  <c r="AP41" i="13"/>
  <c r="AQ41" i="13"/>
  <c r="AR41" i="13"/>
  <c r="AO41" i="13"/>
  <c r="F42" i="13"/>
  <c r="B42" i="13"/>
  <c r="M105" i="23"/>
  <c r="N104" i="23"/>
  <c r="N57" i="23"/>
  <c r="V64" i="21"/>
  <c r="AF64" i="21"/>
  <c r="T64" i="21"/>
  <c r="AH64" i="21"/>
  <c r="X64" i="21"/>
  <c r="U64" i="21"/>
  <c r="V56" i="11"/>
  <c r="Q57" i="11"/>
  <c r="AF57" i="11" s="1"/>
  <c r="R46" i="11"/>
  <c r="AG46" i="11" s="1"/>
  <c r="W57" i="21"/>
  <c r="AG57" i="21"/>
  <c r="W45" i="11"/>
  <c r="X64" i="11"/>
  <c r="AD64" i="13"/>
  <c r="AF64" i="13"/>
  <c r="AE64" i="13"/>
  <c r="AH64" i="13"/>
  <c r="B44" i="11"/>
  <c r="AA64" i="21" a="1"/>
  <c r="AA56" i="11"/>
  <c r="AC64" i="11"/>
  <c r="AB45" i="11"/>
  <c r="Y64" i="21" a="1"/>
  <c r="AB57" i="21" a="1"/>
  <c r="AC64" i="21" a="1"/>
  <c r="Z64" i="21" a="1"/>
  <c r="AA64" i="21" l="1"/>
  <c r="Z64" i="21"/>
  <c r="Y64" i="21"/>
  <c r="AB57" i="21"/>
  <c r="AC64" i="21"/>
  <c r="AU56" i="11"/>
  <c r="AW64" i="11"/>
  <c r="AV45" i="11"/>
  <c r="AQ42" i="13"/>
  <c r="AR42" i="13"/>
  <c r="AP42" i="13"/>
  <c r="AN42" i="13"/>
  <c r="AO42" i="13"/>
  <c r="AG42" i="13"/>
  <c r="F43" i="13"/>
  <c r="B43" i="13"/>
  <c r="M106" i="23"/>
  <c r="N105" i="23"/>
  <c r="N58" i="23"/>
  <c r="J33" i="23" s="1"/>
  <c r="AK48" i="21" s="1" a="1"/>
  <c r="AK48" i="21" s="1"/>
  <c r="V65" i="21"/>
  <c r="AF65" i="21"/>
  <c r="T65" i="21"/>
  <c r="X65" i="21"/>
  <c r="U65" i="21"/>
  <c r="AH65" i="21"/>
  <c r="R47" i="11"/>
  <c r="AG47" i="11" s="1"/>
  <c r="Q58" i="11"/>
  <c r="AF58" i="11" s="1"/>
  <c r="V57" i="11"/>
  <c r="AG58" i="21"/>
  <c r="W58" i="21"/>
  <c r="W46" i="11"/>
  <c r="X65" i="11"/>
  <c r="AE65" i="13"/>
  <c r="AH65" i="13"/>
  <c r="AF65" i="13"/>
  <c r="AD65" i="13"/>
  <c r="B45" i="11"/>
  <c r="AA65" i="21" a="1"/>
  <c r="AA57" i="11"/>
  <c r="Y65" i="21" a="1"/>
  <c r="AB58" i="21" a="1"/>
  <c r="Z65" i="21" a="1"/>
  <c r="AB46" i="11"/>
  <c r="AC65" i="11"/>
  <c r="AC65" i="21" a="1"/>
  <c r="AA65" i="21" l="1"/>
  <c r="AB58" i="21"/>
  <c r="Y65" i="21"/>
  <c r="Z65" i="21"/>
  <c r="AC65" i="21"/>
  <c r="AU57" i="11"/>
  <c r="AW65" i="11"/>
  <c r="AV46" i="11"/>
  <c r="AQ43" i="13"/>
  <c r="AO43" i="13"/>
  <c r="AR43" i="13"/>
  <c r="AP43" i="13"/>
  <c r="AN43" i="13"/>
  <c r="AG43" i="13"/>
  <c r="B44" i="13"/>
  <c r="F44" i="13"/>
  <c r="M107" i="23"/>
  <c r="N106" i="23"/>
  <c r="N59" i="23"/>
  <c r="V67" i="21"/>
  <c r="T67" i="21"/>
  <c r="AF67" i="21"/>
  <c r="AH67" i="21"/>
  <c r="X67" i="21"/>
  <c r="U67" i="21"/>
  <c r="V66" i="21"/>
  <c r="AF66" i="21"/>
  <c r="T66" i="21"/>
  <c r="X66" i="21"/>
  <c r="AH66" i="21"/>
  <c r="U66" i="21"/>
  <c r="V58" i="11"/>
  <c r="R48" i="11"/>
  <c r="AG48" i="11" s="1"/>
  <c r="Q59" i="11"/>
  <c r="AF59" i="11" s="1"/>
  <c r="AG59" i="21"/>
  <c r="W59" i="21"/>
  <c r="W47" i="11"/>
  <c r="AH66" i="13"/>
  <c r="AD66" i="13"/>
  <c r="AE66" i="13"/>
  <c r="AF66" i="13"/>
  <c r="AF67" i="13"/>
  <c r="AE67" i="13"/>
  <c r="AD67" i="13"/>
  <c r="X66"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M20" i="9"/>
  <c r="N20" i="9"/>
  <c r="O20" i="9" s="1"/>
  <c r="Z20" i="9"/>
  <c r="AM47" i="1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66" i="21" a="1"/>
  <c r="AA67" i="21" a="1"/>
  <c r="AA58" i="11"/>
  <c r="AC66" i="21" a="1"/>
  <c r="AC67" i="21" a="1"/>
  <c r="Z67" i="21" a="1"/>
  <c r="Z66" i="21" a="1"/>
  <c r="AC66" i="11"/>
  <c r="AB59" i="21" a="1"/>
  <c r="Y67" i="21" a="1"/>
  <c r="Y66" i="21" a="1"/>
  <c r="AC67" i="11"/>
  <c r="AB47" i="11"/>
  <c r="AA67" i="21" l="1"/>
  <c r="AA66" i="21"/>
  <c r="Z66" i="21"/>
  <c r="Z67" i="21"/>
  <c r="AC67" i="21"/>
  <c r="AC66" i="21"/>
  <c r="Y67" i="21"/>
  <c r="AB59" i="21"/>
  <c r="AV59" i="21" s="1"/>
  <c r="BA59" i="21" s="1"/>
  <c r="Y66" i="21"/>
  <c r="AU58" i="11"/>
  <c r="AW67" i="11"/>
  <c r="AW66" i="11"/>
  <c r="AV47" i="11"/>
  <c r="AQ44" i="13"/>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E42" i="21"/>
  <c r="AT42" i="21" s="1"/>
  <c r="AY42" i="21" s="1"/>
  <c r="AM46" i="13"/>
  <c r="AJ42" i="13"/>
  <c r="AE42" i="13" s="1"/>
  <c r="AK42" i="13"/>
  <c r="AL42" i="11"/>
  <c r="AM44" i="11"/>
  <c r="AE40" i="21"/>
  <c r="AT40" i="21" s="1"/>
  <c r="AY40" i="21" s="1"/>
  <c r="AK40" i="13"/>
  <c r="AJ40" i="13"/>
  <c r="AE40" i="13" s="1"/>
  <c r="AM44" i="13"/>
  <c r="AL40" i="11"/>
  <c r="AM42" i="11"/>
  <c r="AE38" i="21"/>
  <c r="AT38" i="21" s="1"/>
  <c r="AY38" i="21" s="1"/>
  <c r="AI38" i="13"/>
  <c r="AD38" i="13" s="1"/>
  <c r="AK38" i="13"/>
  <c r="AJ38" i="13"/>
  <c r="AE38" i="13" s="1"/>
  <c r="AM42" i="13"/>
  <c r="AL38" i="11"/>
  <c r="AM40" i="11"/>
  <c r="AL42" i="13"/>
  <c r="AJ36" i="13"/>
  <c r="AI36" i="13"/>
  <c r="AM40" i="13"/>
  <c r="AK36" i="13"/>
  <c r="AM38" i="11"/>
  <c r="AK36" i="11"/>
  <c r="AL36" i="11"/>
  <c r="AL40" i="13"/>
  <c r="AJ35" i="13"/>
  <c r="AK35" i="13"/>
  <c r="AI35" i="13"/>
  <c r="AM39" i="13"/>
  <c r="AL39" i="13"/>
  <c r="AM37" i="11"/>
  <c r="AK35" i="11"/>
  <c r="AL35" i="11"/>
  <c r="AK34" i="13"/>
  <c r="AJ34" i="13"/>
  <c r="AM38" i="13"/>
  <c r="AI34" i="13"/>
  <c r="AL38" i="13"/>
  <c r="AL34" i="11"/>
  <c r="AK34" i="11"/>
  <c r="AM36" i="11"/>
  <c r="AM47" i="13"/>
  <c r="AM45" i="11"/>
  <c r="AE41" i="21"/>
  <c r="AT41" i="21" s="1"/>
  <c r="AY41" i="21" s="1"/>
  <c r="AJ41" i="13"/>
  <c r="AE41" i="13" s="1"/>
  <c r="AM45" i="13"/>
  <c r="AK41" i="13"/>
  <c r="AL41" i="11"/>
  <c r="AM43" i="11"/>
  <c r="AE39" i="21"/>
  <c r="AT39" i="21" s="1"/>
  <c r="AY39" i="21" s="1"/>
  <c r="AJ39" i="13"/>
  <c r="AE39" i="13" s="1"/>
  <c r="AK39" i="13"/>
  <c r="AM43" i="13"/>
  <c r="AL39" i="11"/>
  <c r="AM41" i="11"/>
  <c r="AU37" i="21"/>
  <c r="AZ37" i="21" s="1"/>
  <c r="AE37" i="21"/>
  <c r="AT37" i="21" s="1"/>
  <c r="AY37" i="21" s="1"/>
  <c r="AI37" i="13"/>
  <c r="AD37" i="13" s="1"/>
  <c r="AM41" i="13"/>
  <c r="AK37" i="13"/>
  <c r="AJ37" i="13"/>
  <c r="AE37" i="13" s="1"/>
  <c r="AM39" i="11"/>
  <c r="AL37" i="11"/>
  <c r="AK37" i="1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U59" i="21"/>
  <c r="AZ59" i="21" s="1"/>
  <c r="AI60" i="13"/>
  <c r="AJ64" i="13"/>
  <c r="AK59" i="11"/>
  <c r="AV51" i="21"/>
  <c r="BA51" i="21" s="1"/>
  <c r="AU51" i="21"/>
  <c r="AZ51" i="21" s="1"/>
  <c r="AI52" i="13"/>
  <c r="AJ56" i="13"/>
  <c r="AK56" i="13"/>
  <c r="AM61" i="13"/>
  <c r="AK51" i="11"/>
  <c r="AV45" i="21"/>
  <c r="BA45" i="21" s="1"/>
  <c r="AU45" i="21"/>
  <c r="AZ45" i="21" s="1"/>
  <c r="AL50" i="11"/>
  <c r="AK50" i="13"/>
  <c r="AL50" i="13"/>
  <c r="AM55" i="13"/>
  <c r="AI46" i="13"/>
  <c r="AJ50" i="13"/>
  <c r="AK45" i="11"/>
  <c r="AW46" i="21"/>
  <c r="BB46" i="21" s="1"/>
  <c r="AW47" i="21"/>
  <c r="BB47" i="21" s="1"/>
  <c r="AW38" i="21"/>
  <c r="BB38" i="21" s="1"/>
  <c r="AW39" i="21"/>
  <c r="BB39" i="21" s="1"/>
  <c r="AW53" i="21"/>
  <c r="BB53" i="21" s="1"/>
  <c r="AU62" i="21"/>
  <c r="AZ62" i="21" s="1"/>
  <c r="AW51" i="21"/>
  <c r="BB51" i="21" s="1"/>
  <c r="AW52" i="21"/>
  <c r="BB52" i="21" s="1"/>
  <c r="AW40" i="21"/>
  <c r="BB40" i="21" s="1"/>
  <c r="AW43" i="21"/>
  <c r="BB43" i="21" s="1"/>
  <c r="AW44" i="21"/>
  <c r="BB44" i="21" s="1"/>
  <c r="AW45" i="21"/>
  <c r="BB45" i="21" s="1"/>
  <c r="AW48" i="21"/>
  <c r="BB48" i="21" s="1"/>
  <c r="AW49" i="21"/>
  <c r="BB49" i="21" s="1"/>
  <c r="AW50" i="21"/>
  <c r="BB50" i="21" s="1"/>
  <c r="AU63" i="21"/>
  <c r="AZ63" i="21" s="1"/>
  <c r="AW41" i="21"/>
  <c r="BB41" i="21" s="1"/>
  <c r="AW42" i="21"/>
  <c r="BB42" i="21" s="1"/>
  <c r="AW37" i="21"/>
  <c r="BB37" i="21" s="1"/>
  <c r="AI67" i="13"/>
  <c r="AI63" i="13"/>
  <c r="AJ67" i="13"/>
  <c r="AI65" i="13"/>
  <c r="AI66" i="13"/>
  <c r="AI64" i="13"/>
  <c r="AK63" i="11"/>
  <c r="AK62" i="11"/>
  <c r="AV58" i="21"/>
  <c r="BA58" i="21" s="1"/>
  <c r="AI59" i="13"/>
  <c r="AK63" i="13"/>
  <c r="AJ63" i="13"/>
  <c r="AK58" i="11"/>
  <c r="AV56" i="21"/>
  <c r="BA56" i="21" s="1"/>
  <c r="AU56" i="21"/>
  <c r="AZ56" i="21" s="1"/>
  <c r="AK61" i="13"/>
  <c r="AM66" i="13"/>
  <c r="AI57" i="13"/>
  <c r="AJ61" i="13"/>
  <c r="AK56" i="11"/>
  <c r="AV52" i="21"/>
  <c r="BA52" i="21" s="1"/>
  <c r="AU52" i="21"/>
  <c r="AZ52" i="21" s="1"/>
  <c r="AI53" i="13"/>
  <c r="AK57" i="13"/>
  <c r="AJ57" i="13"/>
  <c r="AM62" i="13"/>
  <c r="AK52" i="11"/>
  <c r="AU48" i="21"/>
  <c r="AZ48" i="21" s="1"/>
  <c r="AV48" i="21"/>
  <c r="BA48" i="21" s="1"/>
  <c r="AL53" i="11"/>
  <c r="AJ53" i="13"/>
  <c r="AM58" i="13"/>
  <c r="AK53" i="13"/>
  <c r="AI49" i="13"/>
  <c r="AL53" i="13"/>
  <c r="AK48" i="11"/>
  <c r="AV46" i="21"/>
  <c r="BA46" i="21" s="1"/>
  <c r="AU46" i="21"/>
  <c r="AZ46" i="21" s="1"/>
  <c r="AL51" i="11"/>
  <c r="AI47" i="13"/>
  <c r="AL51" i="13"/>
  <c r="AM56" i="13"/>
  <c r="AJ51" i="13"/>
  <c r="AK51" i="13"/>
  <c r="AK46" i="11"/>
  <c r="AV42" i="21"/>
  <c r="BA42" i="21" s="1"/>
  <c r="AL47" i="11"/>
  <c r="AM52" i="13"/>
  <c r="AK47" i="13"/>
  <c r="AJ47" i="13"/>
  <c r="AI43" i="13"/>
  <c r="AL47" i="13"/>
  <c r="AK42" i="11"/>
  <c r="AM52" i="11"/>
  <c r="AV40" i="21"/>
  <c r="BA40" i="21" s="1"/>
  <c r="AL45" i="11"/>
  <c r="AK45" i="13"/>
  <c r="AJ45" i="13"/>
  <c r="AL45" i="13"/>
  <c r="AI41" i="13"/>
  <c r="AD41" i="13" s="1"/>
  <c r="AM50" i="13"/>
  <c r="AK40" i="11"/>
  <c r="AM50" i="11"/>
  <c r="L101" i="5"/>
  <c r="C51" i="5"/>
  <c r="H47" i="5" s="1"/>
  <c r="AV38" i="21"/>
  <c r="BA38" i="21" s="1"/>
  <c r="AU38" i="21"/>
  <c r="AZ38" i="21" s="1"/>
  <c r="AL43" i="11"/>
  <c r="AI39" i="13"/>
  <c r="AD39" i="13" s="1"/>
  <c r="AL43" i="13"/>
  <c r="AM48" i="13"/>
  <c r="AJ43" i="13"/>
  <c r="AE43" i="13" s="1"/>
  <c r="AK43" i="13"/>
  <c r="AK38" i="11"/>
  <c r="AM48" i="11"/>
  <c r="B107" i="5"/>
  <c r="AV57" i="21"/>
  <c r="BA57" i="21" s="1"/>
  <c r="AU57" i="21"/>
  <c r="AZ57" i="21" s="1"/>
  <c r="AK62" i="13"/>
  <c r="AJ62" i="13"/>
  <c r="AI58" i="13"/>
  <c r="AK57" i="11"/>
  <c r="AU47" i="21"/>
  <c r="AZ47" i="21" s="1"/>
  <c r="AV47" i="21"/>
  <c r="BA47" i="21" s="1"/>
  <c r="AL52" i="11"/>
  <c r="AJ52" i="13"/>
  <c r="AI48" i="13"/>
  <c r="AK52" i="13"/>
  <c r="AM57" i="13"/>
  <c r="AL52" i="13"/>
  <c r="AK47" i="11"/>
  <c r="D71" i="5"/>
  <c r="AV39" i="21"/>
  <c r="BA39" i="21" s="1"/>
  <c r="AU39" i="21"/>
  <c r="AZ39" i="21" s="1"/>
  <c r="AL44" i="11"/>
  <c r="AJ44" i="13"/>
  <c r="AE44" i="13" s="1"/>
  <c r="AL44" i="13"/>
  <c r="AM49" i="13"/>
  <c r="AK44" i="13"/>
  <c r="AI40" i="13"/>
  <c r="AD40" i="13" s="1"/>
  <c r="AM49" i="11"/>
  <c r="AK39" i="11"/>
  <c r="AU53" i="21"/>
  <c r="AZ53" i="21" s="1"/>
  <c r="AV53" i="21"/>
  <c r="BA53" i="21" s="1"/>
  <c r="AM63" i="13"/>
  <c r="AK58" i="13"/>
  <c r="AI54" i="13"/>
  <c r="AJ58" i="13"/>
  <c r="AK53" i="11"/>
  <c r="AV41" i="21"/>
  <c r="BA41" i="21" s="1"/>
  <c r="AL46" i="11"/>
  <c r="AL46" i="13"/>
  <c r="AI42" i="13"/>
  <c r="AM51" i="13"/>
  <c r="AJ46" i="13"/>
  <c r="AK46" i="13"/>
  <c r="AM51" i="11"/>
  <c r="AK41" i="11"/>
  <c r="D70" i="5"/>
  <c r="D69" i="5"/>
  <c r="C126" i="5"/>
  <c r="B75" i="11" a="1"/>
  <c r="N74" i="5"/>
  <c r="AU61" i="21"/>
  <c r="AZ61" i="21" s="1"/>
  <c r="AI62" i="13"/>
  <c r="AJ66" i="13"/>
  <c r="AK61" i="11"/>
  <c r="AV55" i="21"/>
  <c r="BA55" i="21" s="1"/>
  <c r="AU55" i="21"/>
  <c r="AZ55" i="21" s="1"/>
  <c r="AI56" i="13"/>
  <c r="AK60" i="13"/>
  <c r="AM65" i="13"/>
  <c r="AJ60" i="13"/>
  <c r="AK55" i="11"/>
  <c r="AU49" i="21"/>
  <c r="AZ49" i="21" s="1"/>
  <c r="AV49" i="21"/>
  <c r="BA49" i="21" s="1"/>
  <c r="AK54" i="13"/>
  <c r="AM59" i="13"/>
  <c r="AJ54" i="13"/>
  <c r="AI50" i="13"/>
  <c r="AK49" i="11"/>
  <c r="AV43" i="21"/>
  <c r="BA43" i="21" s="1"/>
  <c r="AL48" i="11"/>
  <c r="AI44" i="13"/>
  <c r="AL48" i="13"/>
  <c r="AJ48" i="13"/>
  <c r="AK48" i="13"/>
  <c r="AM53" i="13"/>
  <c r="AK43" i="11"/>
  <c r="AM53" i="11"/>
  <c r="AU60" i="21"/>
  <c r="AZ60" i="21" s="1"/>
  <c r="AI61" i="13"/>
  <c r="AJ65" i="13"/>
  <c r="AK60" i="11"/>
  <c r="AV54" i="21"/>
  <c r="BA54" i="21" s="1"/>
  <c r="AU54" i="21"/>
  <c r="AZ54" i="21" s="1"/>
  <c r="AI55" i="13"/>
  <c r="AK59" i="13"/>
  <c r="AM64" i="13"/>
  <c r="AJ59" i="13"/>
  <c r="AK54" i="11"/>
  <c r="AU50" i="21"/>
  <c r="AZ50" i="21" s="1"/>
  <c r="AV50" i="21"/>
  <c r="BA50" i="21" s="1"/>
  <c r="AM60" i="13"/>
  <c r="AI51" i="13"/>
  <c r="AK55" i="13"/>
  <c r="AJ55" i="13"/>
  <c r="AK50" i="11"/>
  <c r="AV44" i="21"/>
  <c r="BA44" i="21" s="1"/>
  <c r="AL49" i="11"/>
  <c r="AJ49" i="13"/>
  <c r="AK49" i="13"/>
  <c r="AI45" i="13"/>
  <c r="AL49" i="13"/>
  <c r="AM54" i="13"/>
  <c r="AK44" i="11"/>
  <c r="M108" i="23"/>
  <c r="N107" i="23"/>
  <c r="V59" i="11"/>
  <c r="R49" i="11"/>
  <c r="AG49" i="11" s="1"/>
  <c r="Q60" i="11"/>
  <c r="AF60" i="11" s="1"/>
  <c r="E126" i="5"/>
  <c r="O75" i="11" a="1"/>
  <c r="AG60" i="21"/>
  <c r="W60" i="2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60" i="21" a="1"/>
  <c r="AB48" i="11"/>
  <c r="AB60" i="21" l="1"/>
  <c r="AU59" i="11"/>
  <c r="AV48"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52" i="11"/>
  <c r="AJ43" i="11"/>
  <c r="AI49" i="11"/>
  <c r="AI66" i="11"/>
  <c r="AJ50" i="11"/>
  <c r="AB40" i="5"/>
  <c r="G23" i="5"/>
  <c r="AI45" i="11"/>
  <c r="AI62"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44" i="11"/>
  <c r="AJ47" i="11"/>
  <c r="AJ51" i="11"/>
  <c r="I46" i="5"/>
  <c r="G15" i="5"/>
  <c r="I15" i="5"/>
  <c r="I11" i="5"/>
  <c r="AI51" i="11"/>
  <c r="AJ48" i="11"/>
  <c r="AI42" i="11"/>
  <c r="AJ45" i="11"/>
  <c r="AI37" i="11"/>
  <c r="AI29" i="11"/>
  <c r="AI36" i="11"/>
  <c r="AI30" i="11"/>
  <c r="AI38" i="11"/>
  <c r="AI26" i="11"/>
  <c r="AI34" i="11"/>
  <c r="AI31" i="11"/>
  <c r="AI32" i="11"/>
  <c r="AI27" i="11"/>
  <c r="AI33" i="11"/>
  <c r="AI25" i="11"/>
  <c r="AI35" i="11"/>
  <c r="AI28" i="11"/>
  <c r="AI24" i="11"/>
  <c r="H75" i="11"/>
  <c r="K75" i="11"/>
  <c r="D75" i="11"/>
  <c r="L75" i="11"/>
  <c r="E75" i="11"/>
  <c r="I75" i="11"/>
  <c r="F75" i="11"/>
  <c r="B75" i="11"/>
  <c r="G75" i="11"/>
  <c r="J75" i="11"/>
  <c r="C75" i="11"/>
  <c r="AJ46" i="11"/>
  <c r="AI58" i="11"/>
  <c r="AI53" i="11"/>
  <c r="AI60" i="11"/>
  <c r="AJ30" i="11"/>
  <c r="AJ34" i="11"/>
  <c r="AJ26" i="11"/>
  <c r="AJ38" i="11"/>
  <c r="AJ31" i="11"/>
  <c r="AJ36" i="11"/>
  <c r="AJ39" i="11"/>
  <c r="AJ33" i="11"/>
  <c r="AJ25" i="11"/>
  <c r="AJ41" i="11"/>
  <c r="AJ40" i="11"/>
  <c r="AJ32" i="11"/>
  <c r="AJ29" i="11"/>
  <c r="AJ35" i="11"/>
  <c r="AJ37" i="11"/>
  <c r="AJ27" i="11"/>
  <c r="AJ24" i="11"/>
  <c r="AJ42" i="11"/>
  <c r="AJ28" i="11"/>
  <c r="AJ49" i="11"/>
  <c r="AI39" i="11"/>
  <c r="AI41" i="11"/>
  <c r="AI65" i="11"/>
  <c r="AI67" i="11"/>
  <c r="M109" i="23"/>
  <c r="N108" i="23"/>
  <c r="O62" i="11"/>
  <c r="AD62" i="11" s="1"/>
  <c r="O26" i="11"/>
  <c r="AD26" i="11" s="1"/>
  <c r="O63" i="11"/>
  <c r="AD63" i="11" s="1"/>
  <c r="O47" i="11"/>
  <c r="O31" i="11"/>
  <c r="AD31" i="11" s="1"/>
  <c r="O52" i="11"/>
  <c r="O25" i="11"/>
  <c r="AD25" i="11" s="1"/>
  <c r="O48" i="11"/>
  <c r="O64" i="11"/>
  <c r="AD64" i="11" s="1"/>
  <c r="O61" i="11"/>
  <c r="AD61" i="11" s="1"/>
  <c r="O45" i="11"/>
  <c r="O29" i="11"/>
  <c r="AD29" i="11" s="1"/>
  <c r="O30" i="11"/>
  <c r="AD30" i="11" s="1"/>
  <c r="O60" i="11"/>
  <c r="AD60" i="11" s="1"/>
  <c r="O38" i="11"/>
  <c r="O54" i="11"/>
  <c r="AD54" i="11" s="1"/>
  <c r="O58" i="11"/>
  <c r="AD58" i="11" s="1"/>
  <c r="O59" i="11"/>
  <c r="AD59" i="11" s="1"/>
  <c r="O43" i="11"/>
  <c r="O27" i="11"/>
  <c r="AD27" i="11" s="1"/>
  <c r="O44" i="11"/>
  <c r="O67" i="11"/>
  <c r="AD67" i="11" s="1"/>
  <c r="O24" i="11"/>
  <c r="AD24" i="11" s="1"/>
  <c r="O40" i="11"/>
  <c r="O46" i="11"/>
  <c r="O57" i="11"/>
  <c r="AD57" i="11" s="1"/>
  <c r="O41" i="11"/>
  <c r="AD41" i="11" s="1"/>
  <c r="O32" i="11"/>
  <c r="AD32" i="11" s="1"/>
  <c r="O34" i="11"/>
  <c r="AD34" i="11" s="1"/>
  <c r="O50" i="11"/>
  <c r="AD50" i="11" s="1"/>
  <c r="O55" i="11"/>
  <c r="AD55" i="11" s="1"/>
  <c r="O39" i="11"/>
  <c r="O56" i="11"/>
  <c r="AD56" i="11" s="1"/>
  <c r="O51" i="11"/>
  <c r="AD51" i="11" s="1"/>
  <c r="O36" i="11"/>
  <c r="AD36" i="11" s="1"/>
  <c r="O53" i="11"/>
  <c r="AD53" i="11" s="1"/>
  <c r="O37" i="11"/>
  <c r="AD37" i="11" s="1"/>
  <c r="O42" i="11"/>
  <c r="O35" i="11"/>
  <c r="AD35" i="11" s="1"/>
  <c r="O65" i="11"/>
  <c r="AD65" i="11" s="1"/>
  <c r="O49" i="11"/>
  <c r="AD49" i="11" s="1"/>
  <c r="O33" i="11"/>
  <c r="AD33" i="11" s="1"/>
  <c r="O66" i="11"/>
  <c r="AD66" i="11" s="1"/>
  <c r="O28" i="11"/>
  <c r="AD28" i="11" s="1"/>
  <c r="P61" i="11"/>
  <c r="AE61" i="11" s="1"/>
  <c r="P45" i="11"/>
  <c r="AE45" i="11" s="1"/>
  <c r="P29" i="11"/>
  <c r="AE29" i="11" s="1"/>
  <c r="P60" i="11"/>
  <c r="AE60" i="11" s="1"/>
  <c r="P44" i="11"/>
  <c r="AE44" i="11" s="1"/>
  <c r="P28" i="11"/>
  <c r="AE28" i="11" s="1"/>
  <c r="P65" i="11"/>
  <c r="AE65" i="11" s="1"/>
  <c r="P25" i="11"/>
  <c r="AE25" i="11" s="1"/>
  <c r="P48" i="11"/>
  <c r="AE48" i="11" s="1"/>
  <c r="P59" i="11"/>
  <c r="AE59" i="11" s="1"/>
  <c r="P43" i="11"/>
  <c r="AE43" i="11" s="1"/>
  <c r="P27" i="11"/>
  <c r="AE27" i="11" s="1"/>
  <c r="P58" i="11"/>
  <c r="AE58" i="11" s="1"/>
  <c r="P42" i="11"/>
  <c r="AE42" i="11" s="1"/>
  <c r="P32" i="11"/>
  <c r="AE32" i="11" s="1"/>
  <c r="P57" i="11"/>
  <c r="AE57" i="11" s="1"/>
  <c r="P41" i="11"/>
  <c r="AE41" i="11" s="1"/>
  <c r="P56" i="11"/>
  <c r="AE56" i="11" s="1"/>
  <c r="P40" i="11"/>
  <c r="AE40" i="11" s="1"/>
  <c r="P64" i="11"/>
  <c r="AE64" i="11" s="1"/>
  <c r="P55" i="11"/>
  <c r="AE55" i="11" s="1"/>
  <c r="P39" i="11"/>
  <c r="AE39" i="11" s="1"/>
  <c r="P24" i="11"/>
  <c r="AE24" i="11" s="1"/>
  <c r="P54" i="11"/>
  <c r="AE54" i="11" s="1"/>
  <c r="P38" i="11"/>
  <c r="AE38" i="11" s="1"/>
  <c r="P53" i="11"/>
  <c r="AE53" i="11" s="1"/>
  <c r="P37" i="11"/>
  <c r="AE37" i="11" s="1"/>
  <c r="P52" i="11"/>
  <c r="AE52" i="11" s="1"/>
  <c r="P36" i="11"/>
  <c r="AE36" i="11" s="1"/>
  <c r="P49" i="11"/>
  <c r="AE49" i="11" s="1"/>
  <c r="P67" i="11"/>
  <c r="AE67" i="11" s="1"/>
  <c r="P51" i="11"/>
  <c r="AE51" i="11" s="1"/>
  <c r="P35" i="11"/>
  <c r="AE35" i="11" s="1"/>
  <c r="P66" i="11"/>
  <c r="AE66" i="11" s="1"/>
  <c r="P50" i="11"/>
  <c r="AE50" i="11" s="1"/>
  <c r="P34" i="11"/>
  <c r="AE34" i="11" s="1"/>
  <c r="P33" i="11"/>
  <c r="AE33" i="11" s="1"/>
  <c r="P63" i="11"/>
  <c r="AE63" i="11" s="1"/>
  <c r="P47" i="11"/>
  <c r="AE47" i="11" s="1"/>
  <c r="P31" i="11"/>
  <c r="AE31" i="11" s="1"/>
  <c r="P26" i="11"/>
  <c r="AE26" i="11" s="1"/>
  <c r="P62" i="11"/>
  <c r="AE62" i="11" s="1"/>
  <c r="P46" i="11"/>
  <c r="AE46" i="11" s="1"/>
  <c r="P30" i="11"/>
  <c r="AE30" i="11" s="1"/>
  <c r="B47" i="11"/>
  <c r="V60" i="11"/>
  <c r="Y75" i="11"/>
  <c r="V75" i="11"/>
  <c r="W75" i="11"/>
  <c r="P75" i="11"/>
  <c r="X75" i="11"/>
  <c r="O75" i="11"/>
  <c r="Q75" i="11"/>
  <c r="R75" i="11"/>
  <c r="U75" i="11"/>
  <c r="S75" i="11"/>
  <c r="T75" i="11"/>
  <c r="Q61" i="11"/>
  <c r="AF61" i="11" s="1"/>
  <c r="R50" i="11"/>
  <c r="AG50" i="11" s="1"/>
  <c r="AG61" i="21"/>
  <c r="W61" i="21"/>
  <c r="W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AA24" i="13"/>
  <c r="AA25" i="13"/>
  <c r="AA27" i="13"/>
  <c r="AA28" i="13"/>
  <c r="AA37" i="13"/>
  <c r="AA36" i="13"/>
  <c r="AA32" i="13"/>
  <c r="AA33" i="13"/>
  <c r="AA26" i="13"/>
  <c r="AA34" i="13"/>
  <c r="AA29" i="13"/>
  <c r="AA30" i="13"/>
  <c r="AA35" i="13"/>
  <c r="AA31" i="13"/>
  <c r="AA63" i="13"/>
  <c r="AA53" i="13"/>
  <c r="AA38" i="13"/>
  <c r="AA59" i="13"/>
  <c r="AA44" i="13"/>
  <c r="AA39" i="13"/>
  <c r="AA52" i="13"/>
  <c r="AA54" i="13"/>
  <c r="AA46" i="13"/>
  <c r="AA65" i="13"/>
  <c r="AA47" i="13"/>
  <c r="AA64" i="13"/>
  <c r="AA60" i="13"/>
  <c r="AA40" i="13"/>
  <c r="AA49" i="13"/>
  <c r="AA57" i="13"/>
  <c r="AA67" i="13"/>
  <c r="AA56" i="13"/>
  <c r="AA48" i="13"/>
  <c r="AA66" i="13"/>
  <c r="AA62" i="13"/>
  <c r="AA45" i="13"/>
  <c r="AA50" i="13"/>
  <c r="AA41" i="13"/>
  <c r="AA58" i="13"/>
  <c r="AA51" i="13"/>
  <c r="AA42" i="13"/>
  <c r="AA55" i="13"/>
  <c r="AA61" i="13"/>
  <c r="AA43" i="13"/>
  <c r="AA60" i="11"/>
  <c r="AB36" i="13"/>
  <c r="AB30" i="13"/>
  <c r="AB35" i="13"/>
  <c r="Z67" i="13"/>
  <c r="AC34" i="13"/>
  <c r="Y63" i="13"/>
  <c r="AC46" i="13"/>
  <c r="Z41" i="13"/>
  <c r="AC27" i="13"/>
  <c r="AC44" i="13"/>
  <c r="Z62" i="13"/>
  <c r="AC52" i="13"/>
  <c r="Y25" i="13"/>
  <c r="AC36" i="13"/>
  <c r="Y32" i="13"/>
  <c r="AC37" i="13"/>
  <c r="Z24" i="13"/>
  <c r="Y50" i="13"/>
  <c r="AC30" i="13"/>
  <c r="Y65" i="13"/>
  <c r="AC43" i="13"/>
  <c r="Y66" i="13"/>
  <c r="Y44" i="13"/>
  <c r="Z38" i="13"/>
  <c r="Z31" i="13"/>
  <c r="AC53" i="13"/>
  <c r="Y34" i="13"/>
  <c r="AB27" i="13"/>
  <c r="AB38" i="13"/>
  <c r="AB28" i="13"/>
  <c r="Y28" i="13"/>
  <c r="Y38" i="13"/>
  <c r="AC47" i="13"/>
  <c r="AC49" i="13"/>
  <c r="Z66" i="13"/>
  <c r="Y54" i="13"/>
  <c r="Y40" i="13"/>
  <c r="Z28" i="13"/>
  <c r="Y36" i="13"/>
  <c r="Y39" i="13"/>
  <c r="Z40" i="13"/>
  <c r="Z55" i="13"/>
  <c r="Z60" i="13"/>
  <c r="Y37" i="13"/>
  <c r="AC45" i="13"/>
  <c r="Y27" i="13"/>
  <c r="Y33" i="13"/>
  <c r="AB42" i="13"/>
  <c r="AB24" i="13"/>
  <c r="AB44" i="13"/>
  <c r="AC35" i="13"/>
  <c r="AC60" i="13"/>
  <c r="Y62" i="13"/>
  <c r="Z47" i="13"/>
  <c r="AB49" i="11"/>
  <c r="Z33" i="13"/>
  <c r="Z42" i="13"/>
  <c r="AC65" i="13"/>
  <c r="Z54" i="13"/>
  <c r="AC50" i="13"/>
  <c r="Y51" i="13"/>
  <c r="AC48" i="13"/>
  <c r="Z45" i="13"/>
  <c r="Y43" i="13"/>
  <c r="Y24" i="13"/>
  <c r="Y56" i="13"/>
  <c r="Y67" i="13"/>
  <c r="Y47" i="13"/>
  <c r="AC42" i="13"/>
  <c r="Y61" i="13"/>
  <c r="Z59" i="13"/>
  <c r="Z30" i="13"/>
  <c r="AB61" i="21" a="1"/>
  <c r="AB46" i="13"/>
  <c r="AB26" i="13"/>
  <c r="AB39" i="13"/>
  <c r="AC25" i="13"/>
  <c r="AC38" i="13"/>
  <c r="Y55" i="13"/>
  <c r="Z53" i="13"/>
  <c r="AC28" i="13"/>
  <c r="Z61" i="13"/>
  <c r="Y53" i="13"/>
  <c r="Z37" i="13"/>
  <c r="AC40" i="13"/>
  <c r="Z46" i="13"/>
  <c r="Y58" i="13"/>
  <c r="AC66" i="13"/>
  <c r="AC26" i="13"/>
  <c r="Y64" i="13"/>
  <c r="Z35" i="13"/>
  <c r="Z27" i="13"/>
  <c r="Y52" i="13"/>
  <c r="Z36" i="13"/>
  <c r="Z63" i="13"/>
  <c r="Z51" i="13"/>
  <c r="Z29" i="13"/>
  <c r="Z58" i="13"/>
  <c r="AB43" i="13"/>
  <c r="AB34" i="13"/>
  <c r="Z50" i="13"/>
  <c r="Y57" i="13"/>
  <c r="Z32" i="13"/>
  <c r="Y46" i="13"/>
  <c r="AC59" i="13"/>
  <c r="Y26" i="13"/>
  <c r="AC39" i="13"/>
  <c r="Z52" i="13"/>
  <c r="AC64" i="13"/>
  <c r="Z25" i="13"/>
  <c r="AC33" i="13"/>
  <c r="Z43" i="13"/>
  <c r="AC51" i="13"/>
  <c r="Z65" i="13"/>
  <c r="AC57" i="13"/>
  <c r="Y29" i="13"/>
  <c r="Z39" i="13"/>
  <c r="Z64" i="13"/>
  <c r="Z34" i="13"/>
  <c r="Y60" i="13"/>
  <c r="AB29" i="13"/>
  <c r="AB31" i="13"/>
  <c r="AB32" i="13"/>
  <c r="Y31" i="13"/>
  <c r="Y48" i="13"/>
  <c r="AC54" i="13"/>
  <c r="Y59" i="13"/>
  <c r="Y49" i="13"/>
  <c r="AB37" i="13"/>
  <c r="AB33" i="13"/>
  <c r="AB25" i="13"/>
  <c r="AC63" i="13"/>
  <c r="Z44" i="13"/>
  <c r="Z48" i="13"/>
  <c r="Z57" i="13"/>
  <c r="AC55" i="13"/>
  <c r="Y45" i="13"/>
  <c r="AC31" i="13"/>
  <c r="Y35" i="13"/>
  <c r="AB45" i="13"/>
  <c r="AB41" i="13"/>
  <c r="AB40" i="13"/>
  <c r="AC32" i="13"/>
  <c r="AC41" i="13"/>
  <c r="Z26" i="13"/>
  <c r="AC61" i="13"/>
  <c r="Z49" i="13"/>
  <c r="AC62" i="13"/>
  <c r="AC29" i="13"/>
  <c r="AC58" i="13"/>
  <c r="Y41" i="13"/>
  <c r="AC24" i="13"/>
  <c r="Y42" i="13"/>
  <c r="AC67" i="13"/>
  <c r="Z56" i="13"/>
  <c r="Y30" i="13"/>
  <c r="AC56" i="13"/>
  <c r="U12" i="5" l="1"/>
  <c r="AD12" i="5" s="1"/>
  <c r="AB61" i="21"/>
  <c r="AD38" i="11"/>
  <c r="AD48" i="11"/>
  <c r="AD46" i="11"/>
  <c r="AD40" i="11"/>
  <c r="AD39" i="11"/>
  <c r="AD44" i="11"/>
  <c r="AD45" i="11"/>
  <c r="AD42" i="11"/>
  <c r="AD52" i="11"/>
  <c r="AD43" i="11"/>
  <c r="AU60" i="11"/>
  <c r="AD47" i="11"/>
  <c r="AV49" i="11"/>
  <c r="BG51" i="2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Q62" i="11"/>
  <c r="AF62" i="11" s="1"/>
  <c r="R51" i="11"/>
  <c r="AG51" i="11" s="1"/>
  <c r="V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T51" i="11"/>
  <c r="T36" i="11"/>
  <c r="T29" i="11"/>
  <c r="T61" i="11"/>
  <c r="U24" i="11"/>
  <c r="U34" i="11"/>
  <c r="U66" i="11"/>
  <c r="U63" i="11"/>
  <c r="U48" i="11"/>
  <c r="T34" i="11"/>
  <c r="T66" i="11"/>
  <c r="T55" i="11"/>
  <c r="T40" i="11"/>
  <c r="T33" i="11"/>
  <c r="T65" i="11"/>
  <c r="W50" i="11"/>
  <c r="I131" i="5"/>
  <c r="AB127" i="5"/>
  <c r="Z132" i="5"/>
  <c r="AB126" i="5"/>
  <c r="AB135" i="5"/>
  <c r="Z129" i="5"/>
  <c r="AB132" i="5"/>
  <c r="AB129" i="5"/>
  <c r="AB128" i="5"/>
  <c r="R131" i="5"/>
  <c r="AB131" i="5"/>
  <c r="Z127" i="5"/>
  <c r="Z130" i="5"/>
  <c r="Z128" i="5"/>
  <c r="W49" i="13"/>
  <c r="AB130" i="5"/>
  <c r="R126" i="5"/>
  <c r="P136" i="5"/>
  <c r="P49" i="5"/>
  <c r="P126" i="5"/>
  <c r="P132" i="5"/>
  <c r="Q136" i="5"/>
  <c r="S132" i="5"/>
  <c r="R135" i="5"/>
  <c r="AB133" i="5"/>
  <c r="Z136" i="5"/>
  <c r="Z135" i="5"/>
  <c r="Z131" i="5"/>
  <c r="AB134" i="5"/>
  <c r="AB49" i="5"/>
  <c r="Z126" i="5"/>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A61" i="11"/>
  <c r="Y41" i="11"/>
  <c r="Z45" i="11"/>
  <c r="Z50" i="11"/>
  <c r="Y44" i="11"/>
  <c r="Y38" i="11"/>
  <c r="Z59" i="11"/>
  <c r="Z30" i="11"/>
  <c r="Z48" i="11"/>
  <c r="Z49" i="11"/>
  <c r="Y34" i="11"/>
  <c r="Y54" i="11"/>
  <c r="Y30" i="11"/>
  <c r="Y53" i="11"/>
  <c r="Y37" i="11"/>
  <c r="Y43" i="11"/>
  <c r="Z40" i="11"/>
  <c r="Z37" i="11"/>
  <c r="Y58" i="11"/>
  <c r="Z65" i="11"/>
  <c r="Y31" i="11"/>
  <c r="Z58" i="11"/>
  <c r="Z28" i="11"/>
  <c r="Z36" i="11"/>
  <c r="Y39" i="11"/>
  <c r="Y46" i="11"/>
  <c r="Y45" i="11"/>
  <c r="Y56" i="11"/>
  <c r="Z60" i="11"/>
  <c r="Z31" i="11"/>
  <c r="Y49" i="11"/>
  <c r="Z25" i="11"/>
  <c r="Y29" i="11"/>
  <c r="AB50" i="11"/>
  <c r="Z33" i="11"/>
  <c r="Y42" i="11"/>
  <c r="Y40" i="11"/>
  <c r="Z63" i="11"/>
  <c r="Y33" i="11"/>
  <c r="Y64" i="11"/>
  <c r="Z62" i="11"/>
  <c r="Y66" i="11"/>
  <c r="Y57" i="11"/>
  <c r="Y51" i="11"/>
  <c r="Z26" i="11"/>
  <c r="Y50" i="11"/>
  <c r="Y62" i="11"/>
  <c r="Y47" i="11"/>
  <c r="Y27" i="11"/>
  <c r="Z35" i="11"/>
  <c r="Z53" i="11"/>
  <c r="Z46" i="11"/>
  <c r="Y59" i="11"/>
  <c r="Y55" i="11"/>
  <c r="Z43" i="11"/>
  <c r="Z51" i="11"/>
  <c r="Y61" i="11"/>
  <c r="Z42" i="11"/>
  <c r="Z54" i="11"/>
  <c r="Z32" i="11"/>
  <c r="Z29" i="11"/>
  <c r="Y32" i="11"/>
  <c r="Y63" i="11"/>
  <c r="Y28" i="11"/>
  <c r="Y60" i="11"/>
  <c r="Z61" i="11"/>
  <c r="Z44" i="11"/>
  <c r="Z39" i="11"/>
  <c r="Z56" i="11"/>
  <c r="Z38" i="11"/>
  <c r="Z41" i="11"/>
  <c r="Z52" i="11"/>
  <c r="Y25" i="11"/>
  <c r="AB62" i="21" a="1"/>
  <c r="Y67" i="11"/>
  <c r="Y24" i="11"/>
  <c r="Y52" i="11"/>
  <c r="Z27" i="11"/>
  <c r="Y65" i="11"/>
  <c r="Z64" i="11"/>
  <c r="Z34" i="11"/>
  <c r="Y26" i="11"/>
  <c r="Z67" i="11"/>
  <c r="Z57" i="11"/>
  <c r="Y35" i="11"/>
  <c r="Y48" i="11"/>
  <c r="Z66" i="11"/>
  <c r="Z47" i="11"/>
  <c r="Z55" i="11"/>
  <c r="Z24" i="11"/>
  <c r="AB47" i="13"/>
  <c r="Y36" i="11"/>
  <c r="AB62" i="21" l="1"/>
  <c r="AS45" i="11"/>
  <c r="AS44" i="11"/>
  <c r="AS46" i="11"/>
  <c r="J50" i="23"/>
  <c r="J51" i="23"/>
  <c r="J52" i="23"/>
  <c r="J49" i="23"/>
  <c r="AS43" i="11"/>
  <c r="AS39" i="11"/>
  <c r="AS38" i="11"/>
  <c r="AU61" i="11"/>
  <c r="AS33" i="11"/>
  <c r="AS30" i="11"/>
  <c r="AS65" i="11"/>
  <c r="AV50" i="11"/>
  <c r="AS34" i="11"/>
  <c r="AS40" i="11"/>
  <c r="AS28" i="11"/>
  <c r="AS58" i="11"/>
  <c r="AS66" i="11"/>
  <c r="AS62" i="11"/>
  <c r="AS63" i="11"/>
  <c r="AS36" i="11"/>
  <c r="AS56" i="11"/>
  <c r="AS27" i="11"/>
  <c r="AS51" i="11"/>
  <c r="AS48" i="11"/>
  <c r="AS42" i="11"/>
  <c r="AS57" i="11"/>
  <c r="AS47" i="11"/>
  <c r="AS60" i="11"/>
  <c r="AS25" i="11"/>
  <c r="AS53" i="11"/>
  <c r="AS52" i="11"/>
  <c r="AS50" i="11"/>
  <c r="AS32" i="11"/>
  <c r="AS54" i="11"/>
  <c r="AS24" i="11"/>
  <c r="AS29" i="11"/>
  <c r="AS41" i="11"/>
  <c r="AS61" i="11"/>
  <c r="AS37" i="11"/>
  <c r="AS59" i="11"/>
  <c r="AS49" i="11"/>
  <c r="AS55" i="11"/>
  <c r="AS31" i="11"/>
  <c r="AS26" i="11"/>
  <c r="AS35" i="11"/>
  <c r="AS67" i="11"/>
  <c r="AS64" i="11"/>
  <c r="AT46" i="11"/>
  <c r="AT45" i="11"/>
  <c r="AT48" i="11"/>
  <c r="AT52" i="11"/>
  <c r="AT40" i="11"/>
  <c r="AT42" i="11"/>
  <c r="AT47" i="11"/>
  <c r="AT41" i="11"/>
  <c r="AT53" i="11"/>
  <c r="AT38" i="11"/>
  <c r="AT44" i="11"/>
  <c r="AT50" i="11"/>
  <c r="AT51" i="11"/>
  <c r="AT43" i="11"/>
  <c r="AT39" i="11"/>
  <c r="AT49" i="11"/>
  <c r="AT28" i="11"/>
  <c r="AT37" i="11"/>
  <c r="AT30" i="11"/>
  <c r="AT32" i="11"/>
  <c r="AT27" i="11"/>
  <c r="AT26" i="11"/>
  <c r="AT31" i="11"/>
  <c r="AT34" i="11"/>
  <c r="AT35" i="11"/>
  <c r="AT36" i="11"/>
  <c r="AT24" i="11"/>
  <c r="AT29" i="11"/>
  <c r="AT33" i="11"/>
  <c r="AT25" i="11"/>
  <c r="AL59" i="11"/>
  <c r="AJ59" i="11"/>
  <c r="AT59" i="11" s="1"/>
  <c r="AL54" i="11"/>
  <c r="AJ54" i="11"/>
  <c r="AT54" i="11" s="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W59" i="21"/>
  <c r="BB59" i="21" s="1"/>
  <c r="AM59" i="11"/>
  <c r="AW54" i="21"/>
  <c r="BB54" i="21" s="1"/>
  <c r="AL54" i="13"/>
  <c r="AM54" i="1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AJ62" i="11"/>
  <c r="AT62" i="11" s="1"/>
  <c r="AJ64" i="11"/>
  <c r="AT64" i="11" s="1"/>
  <c r="AJ60" i="11"/>
  <c r="AT60" i="11" s="1"/>
  <c r="AJ63" i="11"/>
  <c r="AT63" i="1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R52" i="11"/>
  <c r="AG52" i="11" s="1"/>
  <c r="V62" i="11"/>
  <c r="Q63" i="11"/>
  <c r="AF63" i="11" s="1"/>
  <c r="AG63" i="21"/>
  <c r="W63" i="21"/>
  <c r="W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A62" i="11"/>
  <c r="AB63" i="21" a="1"/>
  <c r="AB48" i="13"/>
  <c r="AB51" i="11"/>
  <c r="AK66" i="11" l="1"/>
  <c r="AK66" i="21" a="1"/>
  <c r="AK66" i="21" s="1"/>
  <c r="AU66" i="21" s="1"/>
  <c r="AZ66" i="21" s="1"/>
  <c r="AK66" i="13"/>
  <c r="AU66" i="13" s="1"/>
  <c r="AK65" i="11"/>
  <c r="AK65" i="21" a="1"/>
  <c r="AK65" i="21" s="1"/>
  <c r="AU65" i="21" s="1"/>
  <c r="AZ65" i="21" s="1"/>
  <c r="AK65" i="13"/>
  <c r="AU65" i="13" s="1"/>
  <c r="AK64" i="11"/>
  <c r="AK64" i="21" a="1"/>
  <c r="AK64" i="21" s="1"/>
  <c r="AU64" i="21" s="1"/>
  <c r="AZ64" i="21" s="1"/>
  <c r="AK64" i="13"/>
  <c r="AU64" i="13" s="1"/>
  <c r="AK67" i="11"/>
  <c r="AK67" i="21" a="1"/>
  <c r="AK67" i="21" s="1"/>
  <c r="AU67" i="21" s="1"/>
  <c r="AZ67" i="21" s="1"/>
  <c r="AK67" i="13"/>
  <c r="AU67" i="13" s="1"/>
  <c r="AB63" i="21"/>
  <c r="AV63" i="21" s="1"/>
  <c r="BA63" i="21" s="1"/>
  <c r="AU62" i="11"/>
  <c r="AV51" i="11"/>
  <c r="AL57" i="11"/>
  <c r="AJ57" i="11"/>
  <c r="AT57" i="11" s="1"/>
  <c r="AL56" i="11"/>
  <c r="AJ56" i="11"/>
  <c r="AT56" i="11" s="1"/>
  <c r="AL55" i="11"/>
  <c r="AJ55" i="11"/>
  <c r="AT55" i="11" s="1"/>
  <c r="AW66" i="21"/>
  <c r="BB66" i="21" s="1"/>
  <c r="AJ66" i="11"/>
  <c r="AT66" i="11" s="1"/>
  <c r="AW65" i="21"/>
  <c r="BB65" i="21" s="1"/>
  <c r="AJ65" i="11"/>
  <c r="AT65" i="11" s="1"/>
  <c r="AW61" i="21"/>
  <c r="BB61" i="21" s="1"/>
  <c r="AJ61" i="11"/>
  <c r="AT61" i="11" s="1"/>
  <c r="AW67" i="21"/>
  <c r="BB67" i="21" s="1"/>
  <c r="AJ67" i="11"/>
  <c r="AT67" i="11" s="1"/>
  <c r="AL58" i="11"/>
  <c r="AJ58" i="11"/>
  <c r="AT58" i="11" s="1"/>
  <c r="AQ48" i="13"/>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L56" i="13"/>
  <c r="AW56" i="21"/>
  <c r="BB56" i="21" s="1"/>
  <c r="AW55" i="21"/>
  <c r="BB55" i="21" s="1"/>
  <c r="AM55" i="11"/>
  <c r="AL55" i="13"/>
  <c r="AW58" i="21"/>
  <c r="BB58" i="21" s="1"/>
  <c r="AM58" i="11"/>
  <c r="AL58" i="13"/>
  <c r="AM57" i="11"/>
  <c r="AL57" i="13"/>
  <c r="AW57" i="21"/>
  <c r="BB57" i="21" s="1"/>
  <c r="AM67" i="11"/>
  <c r="AM67" i="13"/>
  <c r="AM63" i="11"/>
  <c r="AW63" i="21"/>
  <c r="BB63" i="21" s="1"/>
  <c r="AM60" i="11"/>
  <c r="AW60" i="21"/>
  <c r="BB60" i="21" s="1"/>
  <c r="AM62" i="11"/>
  <c r="AW62" i="21"/>
  <c r="BB62" i="21" s="1"/>
  <c r="AM64" i="11"/>
  <c r="AW64" i="21"/>
  <c r="BB64" i="21" s="1"/>
  <c r="AM66" i="11"/>
  <c r="AB262" i="11" a="1"/>
  <c r="AB262" i="11" s="1"/>
  <c r="AC262" i="11" a="1"/>
  <c r="AC262" i="11" s="1"/>
  <c r="AL65" i="13"/>
  <c r="AM65" i="11"/>
  <c r="AL61" i="13"/>
  <c r="AM61" i="11"/>
  <c r="AL62" i="11"/>
  <c r="AL62" i="13"/>
  <c r="AL66" i="11"/>
  <c r="AL66" i="13"/>
  <c r="B49" i="13"/>
  <c r="F49" i="13"/>
  <c r="X177" i="21"/>
  <c r="Y177" i="21"/>
  <c r="R177" i="21"/>
  <c r="Q177" i="21"/>
  <c r="U177" i="21"/>
  <c r="T177" i="21"/>
  <c r="V177" i="21"/>
  <c r="O177" i="21"/>
  <c r="S177" i="21"/>
  <c r="W177" i="21"/>
  <c r="P17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V60" i="21"/>
  <c r="BA60" i="21" s="1"/>
  <c r="AV62" i="2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11"/>
  <c r="AV61" i="21"/>
  <c r="BA61" i="21" s="1"/>
  <c r="AL61" i="11"/>
  <c r="AB220" i="11" a="1"/>
  <c r="AB220" i="11" s="1"/>
  <c r="AC220" i="11" a="1"/>
  <c r="AC220" i="11" s="1"/>
  <c r="R53" i="11"/>
  <c r="AG53" i="11" s="1"/>
  <c r="Q64" i="11"/>
  <c r="AF64" i="11" s="1"/>
  <c r="V63" i="11"/>
  <c r="W64" i="21"/>
  <c r="AG64" i="21"/>
  <c r="W52" i="11"/>
  <c r="V130" i="5"/>
  <c r="W130" i="5" s="1"/>
  <c r="W51" i="13"/>
  <c r="B51" i="11"/>
  <c r="T137" i="5"/>
  <c r="F65" i="5"/>
  <c r="F66" i="5" s="1"/>
  <c r="Z65" i="5"/>
  <c r="Z66" i="5" s="1"/>
  <c r="AB65" i="5"/>
  <c r="AB66" i="5" s="1"/>
  <c r="A68" i="5"/>
  <c r="P65" i="5"/>
  <c r="P66" i="5" s="1"/>
  <c r="R65" i="5"/>
  <c r="R66" i="5" s="1"/>
  <c r="H65" i="5"/>
  <c r="H66" i="5" s="1"/>
  <c r="U15" i="5"/>
  <c r="AD15" i="5" s="1"/>
  <c r="AA63" i="11"/>
  <c r="AB52" i="11"/>
  <c r="AB64" i="21" a="1"/>
  <c r="AB49" i="13"/>
  <c r="AB64" i="21" l="1"/>
  <c r="AU63" i="11"/>
  <c r="AV52" i="11"/>
  <c r="AQ49" i="13"/>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V64" i="11"/>
  <c r="Q65" i="11"/>
  <c r="AF65" i="11" s="1"/>
  <c r="R54" i="11"/>
  <c r="AG54" i="11" s="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W53" i="11"/>
  <c r="V131" i="5"/>
  <c r="W131" i="5" s="1"/>
  <c r="W52" i="13"/>
  <c r="B52" i="11"/>
  <c r="U16" i="5"/>
  <c r="AD16" i="5" s="1"/>
  <c r="AB68" i="5"/>
  <c r="H68" i="5"/>
  <c r="F68" i="5"/>
  <c r="A69" i="5"/>
  <c r="P68" i="5"/>
  <c r="Z68" i="5"/>
  <c r="R68" i="5"/>
  <c r="AA64" i="11"/>
  <c r="AB65" i="21" a="1"/>
  <c r="AB50" i="13"/>
  <c r="AB53" i="11"/>
  <c r="AB65" i="21" l="1"/>
  <c r="AV65" i="21" s="1"/>
  <c r="BA65" i="21" s="1"/>
  <c r="L40" i="15"/>
  <c r="J10" i="14"/>
  <c r="AF10" i="15" s="1"/>
  <c r="J17" i="14"/>
  <c r="AF17" i="15" s="1"/>
  <c r="AU64" i="11"/>
  <c r="AV53" i="1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V65" i="11"/>
  <c r="Q66" i="11"/>
  <c r="AF66" i="11" s="1"/>
  <c r="R55" i="11"/>
  <c r="AG55" i="11" s="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W54" i="11"/>
  <c r="W53" i="13"/>
  <c r="B53" i="11"/>
  <c r="V132" i="5"/>
  <c r="W132" i="5" s="1"/>
  <c r="A70" i="5"/>
  <c r="P69" i="5"/>
  <c r="AB69" i="5"/>
  <c r="Z69" i="5"/>
  <c r="F69" i="5"/>
  <c r="H69" i="5"/>
  <c r="R69" i="5"/>
  <c r="U17" i="5"/>
  <c r="AD17" i="5" s="1"/>
  <c r="AA65" i="11"/>
  <c r="AB51" i="13"/>
  <c r="AB54" i="11"/>
  <c r="AB66" i="21" a="1"/>
  <c r="AB67" i="21" a="1"/>
  <c r="AB67" i="21" l="1"/>
  <c r="AV67" i="21" s="1"/>
  <c r="BA67" i="21" s="1"/>
  <c r="AB66" i="21"/>
  <c r="AV66" i="21" s="1"/>
  <c r="BA66" i="21" s="1"/>
  <c r="AH40" i="15"/>
  <c r="AU65" i="11"/>
  <c r="AV54" i="11"/>
  <c r="AH164" i="13"/>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V66" i="11"/>
  <c r="Q67" i="11"/>
  <c r="AF67" i="11" s="1"/>
  <c r="R56" i="11"/>
  <c r="AG56" i="11" s="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W55" i="11"/>
  <c r="W54" i="13"/>
  <c r="B54" i="11"/>
  <c r="X133" i="5"/>
  <c r="Y133" i="5" s="1"/>
  <c r="F70" i="5"/>
  <c r="H70" i="5"/>
  <c r="Z70" i="5"/>
  <c r="P70" i="5"/>
  <c r="A71" i="5"/>
  <c r="AB70" i="5"/>
  <c r="R70" i="5"/>
  <c r="U18" i="5"/>
  <c r="AD18" i="5" s="1"/>
  <c r="AA66" i="11"/>
  <c r="AB52" i="13"/>
  <c r="AB55" i="11"/>
  <c r="AU66" i="11" l="1"/>
  <c r="AV55" i="11"/>
  <c r="AR52" i="13"/>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R57" i="11"/>
  <c r="AG57" i="11" s="1"/>
  <c r="V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W56" i="11"/>
  <c r="W55" i="13"/>
  <c r="B55" i="11"/>
  <c r="N135" i="5"/>
  <c r="V135" i="5"/>
  <c r="L134" i="5"/>
  <c r="X134" i="5"/>
  <c r="Y134" i="5" s="1"/>
  <c r="U19" i="5"/>
  <c r="AD19" i="5" s="1"/>
  <c r="R71" i="5"/>
  <c r="R72" i="5" s="1"/>
  <c r="AB71" i="5"/>
  <c r="AB72" i="5" s="1"/>
  <c r="A74" i="5"/>
  <c r="P71" i="5"/>
  <c r="P72" i="5" s="1"/>
  <c r="H71" i="5"/>
  <c r="H72" i="5" s="1"/>
  <c r="Z71" i="5"/>
  <c r="Z72" i="5" s="1"/>
  <c r="F71" i="5"/>
  <c r="F72" i="5" s="1"/>
  <c r="AA67" i="11"/>
  <c r="AB56" i="11"/>
  <c r="AB53" i="13"/>
  <c r="AU67" i="11" l="1"/>
  <c r="AV56" i="11"/>
  <c r="AQ53" i="13"/>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R58" i="11"/>
  <c r="AG58" i="11" s="1"/>
  <c r="BC66" i="21"/>
  <c r="BC67" i="21"/>
  <c r="W57" i="11"/>
  <c r="W56" i="13"/>
  <c r="B56" i="11"/>
  <c r="U20" i="5"/>
  <c r="AD20" i="5" s="1"/>
  <c r="AB74" i="5"/>
  <c r="P74" i="5"/>
  <c r="H74" i="5"/>
  <c r="A75" i="5"/>
  <c r="Z74" i="5"/>
  <c r="F74" i="5"/>
  <c r="R74" i="5"/>
  <c r="AB54" i="13"/>
  <c r="AB57" i="11"/>
  <c r="AV57" i="11" l="1"/>
  <c r="AQ54" i="13"/>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G59" i="11" s="1"/>
  <c r="W58" i="11"/>
  <c r="W57" i="13"/>
  <c r="B57" i="11"/>
  <c r="F75" i="5"/>
  <c r="AB75" i="5"/>
  <c r="Z75" i="5"/>
  <c r="H75" i="5"/>
  <c r="A76" i="5"/>
  <c r="R75" i="5"/>
  <c r="P75" i="5"/>
  <c r="U21" i="5"/>
  <c r="AD21" i="5" s="1"/>
  <c r="AB55" i="13"/>
  <c r="AB58" i="11"/>
  <c r="AV58" i="11" l="1"/>
  <c r="AQ55" i="13"/>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G60" i="11" s="1"/>
  <c r="W59" i="11"/>
  <c r="W58" i="13"/>
  <c r="B58" i="11"/>
  <c r="U22" i="5"/>
  <c r="AD22" i="5" s="1"/>
  <c r="H76" i="5"/>
  <c r="Z76" i="5"/>
  <c r="R76" i="5"/>
  <c r="P76" i="5"/>
  <c r="A77" i="5"/>
  <c r="F76" i="5"/>
  <c r="AB76" i="5"/>
  <c r="AB59" i="11"/>
  <c r="AB56" i="13"/>
  <c r="AV59" i="11" l="1"/>
  <c r="AQ56" i="13"/>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G61" i="11" s="1"/>
  <c r="W60" i="11"/>
  <c r="W59" i="13"/>
  <c r="B59" i="11"/>
  <c r="U23" i="5"/>
  <c r="AD23" i="5" s="1"/>
  <c r="Z77" i="5"/>
  <c r="Z78" i="5" s="1"/>
  <c r="A80" i="5"/>
  <c r="H77" i="5"/>
  <c r="H78" i="5" s="1"/>
  <c r="F77" i="5"/>
  <c r="F78" i="5" s="1"/>
  <c r="R77" i="5"/>
  <c r="R78" i="5" s="1"/>
  <c r="P77" i="5"/>
  <c r="P78" i="5" s="1"/>
  <c r="AB77" i="5"/>
  <c r="AB78" i="5" s="1"/>
  <c r="AB60" i="11"/>
  <c r="AB57" i="13"/>
  <c r="AV60" i="11" l="1"/>
  <c r="AQ57" i="13"/>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G62" i="11" s="1"/>
  <c r="W61" i="11"/>
  <c r="W60" i="13"/>
  <c r="B60" i="11"/>
  <c r="R80" i="5"/>
  <c r="Z80" i="5"/>
  <c r="H80" i="5"/>
  <c r="AB80" i="5"/>
  <c r="F80" i="5"/>
  <c r="P80" i="5"/>
  <c r="A81" i="5"/>
  <c r="U24" i="5"/>
  <c r="AD24" i="5" s="1"/>
  <c r="AB58" i="13"/>
  <c r="AB61" i="11"/>
  <c r="AV61" i="11" l="1"/>
  <c r="AQ58" i="13"/>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G63" i="11" s="1"/>
  <c r="W62" i="11"/>
  <c r="W61" i="13"/>
  <c r="B61" i="11"/>
  <c r="Z81" i="5"/>
  <c r="P81" i="5"/>
  <c r="A82" i="5"/>
  <c r="H81" i="5"/>
  <c r="AB81" i="5"/>
  <c r="F81" i="5"/>
  <c r="R81" i="5"/>
  <c r="U25" i="5"/>
  <c r="AD25" i="5" s="1"/>
  <c r="AB62" i="11"/>
  <c r="AB59" i="13"/>
  <c r="AV62" i="11" l="1"/>
  <c r="AQ59" i="13"/>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G64" i="11" s="1"/>
  <c r="W63" i="11"/>
  <c r="W62" i="13"/>
  <c r="B62" i="11"/>
  <c r="P82" i="5"/>
  <c r="A83" i="5"/>
  <c r="AB82" i="5"/>
  <c r="H82" i="5"/>
  <c r="Z82" i="5"/>
  <c r="F82" i="5"/>
  <c r="R82" i="5"/>
  <c r="U26" i="5"/>
  <c r="AD26" i="5" s="1"/>
  <c r="AB63" i="11"/>
  <c r="AB60" i="13"/>
  <c r="AV63" i="11" l="1"/>
  <c r="AQ60" i="13"/>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G65" i="11" s="1"/>
  <c r="W64" i="11"/>
  <c r="W63" i="13"/>
  <c r="B63" i="11"/>
  <c r="R83" i="5"/>
  <c r="R84" i="5" s="1"/>
  <c r="A86" i="5"/>
  <c r="AB83" i="5"/>
  <c r="AB84" i="5" s="1"/>
  <c r="H83" i="5"/>
  <c r="H84" i="5" s="1"/>
  <c r="Z83" i="5"/>
  <c r="Z84" i="5" s="1"/>
  <c r="F83" i="5"/>
  <c r="F84" i="5" s="1"/>
  <c r="P83" i="5"/>
  <c r="P84" i="5" s="1"/>
  <c r="U27" i="5"/>
  <c r="AD27" i="5" s="1"/>
  <c r="AB61" i="13"/>
  <c r="AB64" i="11"/>
  <c r="AV64" i="11" l="1"/>
  <c r="AQ61" i="13"/>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G66" i="11" s="1"/>
  <c r="W65" i="11"/>
  <c r="W64" i="13"/>
  <c r="B64" i="11"/>
  <c r="AB86" i="5"/>
  <c r="F86" i="5"/>
  <c r="H86" i="5"/>
  <c r="P86" i="5"/>
  <c r="Z86" i="5"/>
  <c r="R86" i="5"/>
  <c r="A87" i="5"/>
  <c r="U28" i="5"/>
  <c r="AD28" i="5" s="1"/>
  <c r="AB62" i="13"/>
  <c r="AB65" i="11"/>
  <c r="AV65" i="11" l="1"/>
  <c r="AQ62" i="13"/>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W66" i="11"/>
  <c r="W65" i="13"/>
  <c r="B65" i="11"/>
  <c r="U29" i="5"/>
  <c r="AD29" i="5" s="1"/>
  <c r="A88" i="5"/>
  <c r="H87" i="5"/>
  <c r="R87" i="5"/>
  <c r="F87" i="5"/>
  <c r="P87" i="5"/>
  <c r="Z87" i="5"/>
  <c r="AB87" i="5"/>
  <c r="AB63" i="13"/>
  <c r="AB66" i="11"/>
  <c r="AV66" i="11" l="1"/>
  <c r="AQ63" i="13"/>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5" i="13"/>
  <c r="AB67" i="11"/>
  <c r="AV67" i="11" l="1"/>
  <c r="AQ65" i="13"/>
  <c r="AO65" i="13"/>
  <c r="AR65" i="13"/>
  <c r="AP65" i="13"/>
  <c r="AN65" i="13"/>
  <c r="AO67" i="11"/>
  <c r="AP67" i="11"/>
  <c r="AN67" i="11"/>
  <c r="AR67" i="11"/>
  <c r="K31" i="5"/>
  <c r="T30" i="5"/>
  <c r="A31" i="5"/>
  <c r="J30" i="5"/>
  <c r="B66" i="13"/>
  <c r="F66" i="13"/>
  <c r="AG65" i="13"/>
  <c r="AV65" i="13" s="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89" i="21" l="1"/>
  <c r="AI89" i="21" s="1"/>
  <c r="AG259" i="2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59" i="21" l="1"/>
  <c r="AD259" i="21" s="1"/>
  <c r="R36" i="25" s="1"/>
  <c r="R35" i="26" s="1"/>
  <c r="AL35" i="26" s="1"/>
  <c r="AH89" i="21"/>
  <c r="AD89" i="21" s="1"/>
  <c r="O23" i="25" s="1"/>
  <c r="O22" i="26" s="1"/>
  <c r="AI22" i="26" s="1"/>
  <c r="AI295" i="2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Q37" i="24"/>
  <c r="Q11" i="24"/>
  <c r="S33" i="24"/>
  <c r="S42" i="24"/>
  <c r="Q44" i="24"/>
  <c r="P46" i="24"/>
  <c r="S44" i="24"/>
  <c r="O14" i="24"/>
  <c r="P22" i="24"/>
  <c r="AD140" i="21"/>
  <c r="P22" i="25" s="1"/>
  <c r="O31" i="24"/>
  <c r="AD97" i="21"/>
  <c r="O31" i="25" s="1"/>
  <c r="O30" i="26" s="1"/>
  <c r="AI30" i="26" s="1"/>
  <c r="S21" i="24"/>
  <c r="R19" i="24"/>
  <c r="AD242" i="21"/>
  <c r="R19" i="25" s="1"/>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O23" i="24" l="1"/>
  <c r="S13" i="24"/>
  <c r="Q42" i="24"/>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<sst xmlns="http://schemas.openxmlformats.org/spreadsheetml/2006/main" count="2120" uniqueCount="453">
  <si>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</si>
  <si>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</si>
  <si>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</si>
  <si>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</si>
  <si>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</si>
  <si>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</si>
  <si>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</si>
  <si>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</si>
  <si>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</si>
  <si>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</si>
  <si>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</si>
  <si>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</si>
  <si>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</si>
  <si>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</si>
  <si>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</si>
  <si>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</si>
  <si>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</si>
  <si>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</si>
  <si>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</si>
  <si>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</si>
  <si>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</si>
  <si>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</si>
  <si>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</si>
  <si>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</si>
  <si>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</si>
  <si>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</si>
  <si>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</si>
  <si>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</si>
  <si>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</si>
  <si>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</si>
  <si>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</si>
  <si>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</si>
  <si>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</si>
  <si>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</si>
  <si>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</si>
  <si>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</si>
  <si>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</si>
  <si>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</si>
  <si>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</si>
  <si>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</si>
  <si>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</si>
  <si>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</si>
  <si>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</si>
  <si>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</si>
  <si>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</si>
  <si>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</si>
  <si>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</si>
  <si>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</si>
  <si>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</si>
  <si>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</si>
  <si>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</si>
  <si>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</si>
  <si>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</si>
  <si>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</si>
  <si>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</si>
  <si>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</si>
  <si>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</si>
  <si>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</si>
  <si>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</si>
  <si>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</si>
  <si>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</si>
  <si>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</si>
  <si>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</si>
  <si>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</si>
  <si>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</si>
  <si>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</si>
  <si>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</si>
  <si>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</si>
  <si>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</si>
  <si>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</si>
  <si>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</si>
  <si>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</si>
  <si>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</si>
  <si>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</si>
  <si>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</si>
  <si>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</si>
  <si>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</si>
  <si>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</si>
  <si>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</si>
  <si>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</si>
  <si>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</si>
  <si>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</si>
  <si>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</si>
  <si>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</si>
  <si>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</si>
  <si>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</si>
  <si>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</si>
  <si>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</si>
  <si>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</si>
  <si>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</si>
  <si>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</si>
  <si>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</si>
  <si>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</si>
  <si>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</si>
  <si>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</si>
  <si>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</si>
  <si>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</si>
  <si>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</si>
  <si>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</si>
  <si>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</si>
  <si>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</si>
  <si>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</si>
  <si>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</si>
  <si>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</si>
  <si>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</si>
  <si>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</si>
  <si>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</si>
  <si>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</si>
  <si>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</si>
  <si>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</si>
  <si>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</si>
  <si>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</si>
  <si>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</si>
  <si>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</si>
  <si>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</si>
  <si>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</si>
  <si>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</si>
  <si>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</si>
  <si>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</si>
  <si>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</si>
  <si>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</si>
  <si>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</si>
  <si>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</si>
  <si>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</si>
  <si>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</si>
  <si>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</si>
  <si>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</si>
  <si>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</si>
  <si>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</si>
  <si>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</si>
  <si>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</si>
  <si>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</si>
  <si>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</si>
  <si>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</si>
  <si>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</si>
  <si>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</si>
  <si>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</si>
  <si>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</si>
  <si>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</si>
  <si>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</si>
  <si>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</si>
  <si>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</si>
  <si>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</si>
  <si>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</si>
  <si>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</si>
  <si>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</si>
  <si>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</si>
  <si>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</si>
  <si>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</si>
  <si>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</si>
  <si>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</si>
  <si>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</si>
  <si>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</si>
  <si>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</si>
  <si>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</si>
  <si>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</si>
  <si>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</si>
  <si>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</si>
  <si>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</si>
  <si>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</si>
  <si>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</si>
  <si>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</si>
  <si>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</si>
  <si>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</si>
  <si>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</si>
  <si>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</si>
  <si>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</si>
  <si>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</si>
  <si>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</si>
  <si>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</si>
  <si>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</si>
  <si>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</si>
  <si>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</si>
  <si>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</si>
  <si>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</si>
  <si>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</si>
  <si>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</si>
  <si>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</si>
  <si>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</si>
  <si>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</si>
  <si>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</si>
  <si>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</si>
  <si>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</si>
  <si>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</si>
  <si>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</si>
  <si>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</si>
  <si>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</si>
  <si>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</si>
  <si>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</si>
  <si>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</si>
  <si>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</si>
  <si>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</si>
  <si>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</si>
  <si>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</si>
  <si>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</si>
  <si>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</si>
  <si>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</si>
  <si>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</si>
  <si>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</si>
  <si>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</si>
  <si>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</si>
  <si>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</si>
  <si>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</si>
  <si>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</si>
  <si>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</si>
  <si>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</si>
  <si>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</si>
  <si>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</si>
  <si>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</si>
  <si>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</si>
  <si>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</si>
  <si>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</si>
  <si>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</si>
  <si>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</si>
  <si>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</si>
  <si>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</si>
  <si>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</si>
  <si>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</si>
  <si>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</si>
  <si>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</si>
  <si>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</si>
  <si>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</si>
  <si>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</si>
  <si>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</si>
  <si>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</si>
  <si>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</si>
  <si>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</si>
  <si>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</si>
  <si>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</si>
  <si>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</si>
  <si>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</si>
  <si>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</si>
  <si>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</si>
  <si>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</si>
  <si>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</si>
  <si>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</si>
  <si>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</si>
  <si>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</si>
  <si>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</si>
  <si>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</si>
  <si>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</si>
  <si>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</si>
  <si>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</si>
  <si>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</si>
  <si>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</si>
  <si>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</si>
  <si>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</si>
  <si>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</si>
  <si>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</si>
  <si>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</si>
  <si>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</si>
  <si>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</si>
  <si>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</si>
  <si>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</si>
  <si>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</si>
  <si>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</si>
  <si>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</si>
  <si>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</si>
  <si>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</si>
  <si>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</si>
  <si>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</si>
  <si>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</si>
  <si>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</si>
  <si>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</si>
  <si>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</si>
  <si>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</si>
  <si>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</si>
  <si>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</si>
  <si>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</si>
  <si>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</si>
  <si>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</si>
  <si>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</si>
  <si>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</si>
  <si>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</si>
  <si>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</si>
  <si>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</si>
  <si>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</si>
  <si>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</si>
  <si>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</si>
  <si>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</si>
  <si>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</si>
  <si>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</si>
  <si>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</si>
  <si>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</si>
  <si>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</si>
  <si>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</si>
  <si>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</si>
  <si>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</si>
  <si>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</si>
  <si>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</si>
  <si>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</si>
  <si>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</si>
  <si>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</si>
  <si>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</si>
  <si>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</si>
  <si>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</si>
  <si>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</si>
  <si>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</si>
  <si>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</si>
  <si>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</si>
  <si>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</si>
  <si>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</si>
  <si>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</si>
  <si>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</si>
  <si>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</si>
  <si>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</si>
  <si>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</si>
  <si>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</si>
  <si>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</si>
  <si>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</si>
  <si>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</si>
  <si>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</si>
  <si>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</si>
  <si>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</si>
  <si>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</si>
  <si>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</si>
  <si>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</si>
  <si>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</si>
  <si>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</si>
  <si>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</si>
  <si>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</si>
  <si>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</si>
  <si>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</si>
  <si>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</si>
  <si>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</si>
  <si>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</si>
  <si>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 xml:space="preserve">Multipliers for Centrally-Refueled Prices (Source: Clean Cities Alternative Fuel Price Report, April 2018) </t>
  </si>
  <si>
    <t>Vehicle Purchase Price, 2017$</t>
  </si>
  <si>
    <t>Adv Conv</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</si>
  <si>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</si>
  <si>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</si>
  <si>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</si>
  <si>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</si>
  <si>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</si>
  <si>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</si>
  <si>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</si>
  <si>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</si>
  <si>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</si>
  <si>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</si>
  <si>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</si>
  <si>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</si>
  <si>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</si>
  <si>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</si>
  <si>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</si>
  <si>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</si>
  <si>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</si>
  <si>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</si>
  <si>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</si>
  <si>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</si>
  <si>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</si>
  <si>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</si>
  <si>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</si>
  <si>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</si>
  <si>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</si>
  <si>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</si>
  <si>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</si>
  <si>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</si>
  <si>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</si>
  <si>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</si>
  <si>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</si>
  <si>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</si>
  <si>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</si>
  <si>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</si>
  <si>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</si>
  <si>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</si>
  <si>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</si>
  <si>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</si>
  <si>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</si>
  <si>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</si>
  <si>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</si>
  <si>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</si>
  <si>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</si>
  <si>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</si>
  <si>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</si>
  <si>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</si>
  <si>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</si>
  <si>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</si>
  <si>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</si>
  <si>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</si>
  <si>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</si>
  <si>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</si>
  <si>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</si>
  <si>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</si>
  <si>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</si>
  <si>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</si>
  <si>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</si>
  <si>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</si>
  <si>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</si>
  <si>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</si>
  <si>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</si>
  <si>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</si>
  <si>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</si>
  <si>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</si>
  <si>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</si>
  <si>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</si>
  <si>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</si>
  <si>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</si>
  <si>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</si>
  <si>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</si>
  <si>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</si>
  <si>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</si>
  <si>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</si>
  <si>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</si>
  <si>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</si>
  <si>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</si>
  <si>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</si>
  <si>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</si>
  <si>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</si>
  <si>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</si>
  <si>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</si>
  <si>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</si>
  <si>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</si>
  <si>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</si>
  <si>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</si>
  <si>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</si>
  <si>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</si>
  <si>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</si>
  <si>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</si>
  <si>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</si>
  <si>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</si>
  <si>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</si>
  <si>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</si>
  <si>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</si>
  <si>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</si>
  <si>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</si>
  <si>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</si>
  <si>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</si>
  <si>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</si>
  <si>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</si>
  <si>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</si>
  <si>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</si>
  <si>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</si>
  <si>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</si>
  <si>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</si>
  <si>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</si>
  <si>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</si>
  <si>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</si>
  <si>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</si>
  <si>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</si>
  <si>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</si>
  <si>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</si>
  <si>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</si>
  <si>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</si>
  <si>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</si>
  <si>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</si>
  <si>
    <t>FCEV</t>
  </si>
  <si>
    <t>apply?</t>
  </si>
  <si>
    <t>Apply FA Constraints?</t>
  </si>
  <si>
    <t>2020 FHTO inputs</t>
  </si>
  <si>
    <t>Source: NREL Market Segementation assumptions (Chad Hunter)</t>
  </si>
  <si>
    <t>From NREL Maket Segmentation (C. Hunter, 8/27/2020):</t>
  </si>
  <si>
    <t>lookup table; do not delete</t>
  </si>
  <si>
    <t>MDHD Benefits Analysis Preliminary Run 2020-08-27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</si>
</sst>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8"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
      <sz val="10"/>
      <color rgb="FFFF0000"/>
      <name val="Calibri"/>
      <family val="2"/>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4" fillId="0" borderId="0"/>
  </cellStyleXfs>
  <cellXfs count="1642">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93"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2" fontId="65" fillId="35" borderId="0" xfId="0" applyNumberFormat="1" applyFont="1" applyFill="1"/>
    <xf numFmtId="2" fontId="65" fillId="35" borderId="41" xfId="0" applyNumberFormat="1" applyFont="1" applyFill="1" applyBorder="1"/>
    <xf numFmtId="0" fontId="95" fillId="0" borderId="74" xfId="0" applyFont="1" applyBorder="1"/>
    <xf numFmtId="0" fontId="25" fillId="0" borderId="0" xfId="0" applyFont="1" applyBorder="1" applyAlignment="1">
      <alignment horizontal="right"/>
    </xf>
    <xf numFmtId="0" fontId="96"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99" xfId="4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xf numFmtId="0" fontId="67" fillId="0" borderId="39" xfId="0" applyFont="1" applyBorder="1"/>
    <xf numFmtId="0" fontId="67" fillId="0" borderId="26" xfId="0" applyFont="1" applyBorder="1"/>
    <xf numFmtId="0" fontId="67" fillId="35" borderId="41" xfId="0" applyFont="1" applyFill="1" applyBorder="1" applyAlignment="1">
      <alignment horizontal="center" wrapText="1"/>
    </xf>
    <xf numFmtId="0" fontId="97" fillId="0" borderId="0" xfId="0" applyFont="1"/>
    <xf numFmtId="0" fontId="76" fillId="0" borderId="0" xfId="0" applyFont="1" applyAlignment="1">
      <alignment horizontal="left"/>
    </xf>
    <xf numFmtId="3" fontId="65" fillId="0" borderId="0" xfId="0" applyNumberFormat="1" applyFont="1" applyAlignment="1">
      <alignment horizontal="centerContinuous"/>
    </xf>
    <xf numFmtId="0" fontId="65" fillId="0" borderId="0" xfId="0" applyFont="1" applyAlignment="1">
      <alignment horizontal="centerContinuous"/>
    </xf>
    <xf numFmtId="0" fontId="76" fillId="0" borderId="0" xfId="0" applyFont="1" applyBorder="1" applyAlignment="1">
      <alignment horizontal="left" vertical="center"/>
    </xf>
    <xf numFmtId="0" fontId="67" fillId="0" borderId="0" xfId="0" applyFont="1" applyAlignment="1">
      <alignment horizontal="left" vertical="center"/>
    </xf>
    <xf numFmtId="0" fontId="76" fillId="0" borderId="0" xfId="41" applyFont="1" applyBorder="1"/>
    <xf numFmtId="168" fontId="91" fillId="35" borderId="15" xfId="0" applyNumberFormat="1" applyFont="1" applyFill="1" applyBorder="1" applyAlignment="1">
      <alignment horizontal="center"/>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44"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37" fillId="0" borderId="176" xfId="0" applyFont="1" applyFill="1" applyBorder="1" applyAlignment="1">
      <alignment horizontal="center"/>
    </xf>
    <xf numFmtId="0" fontId="37" fillId="0" borderId="177" xfId="0" applyFont="1" applyFill="1" applyBorder="1" applyAlignment="1">
      <alignment horizontal="center"/>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80" xfId="0" applyFont="1" applyFill="1" applyBorder="1" applyAlignment="1">
      <alignment horizontal="center"/>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29" fillId="0" borderId="87" xfId="0" applyFont="1" applyFill="1" applyBorder="1" applyAlignment="1">
      <alignment horizontal="right"/>
    </xf>
    <xf numFmtId="0" fontId="29" fillId="0" borderId="175" xfId="0" applyFont="1" applyFill="1" applyBorder="1" applyAlignment="1">
      <alignment horizontal="right"/>
    </xf>
    <xf numFmtId="2" fontId="24" fillId="33" borderId="15" xfId="0" applyNumberFormat="1" applyFont="1" applyFill="1" applyBorder="1" applyAlignment="1">
      <alignment horizontal="center"/>
    </xf>
    <xf numFmtId="2" fontId="24" fillId="33" borderId="17" xfId="0" applyNumberFormat="1" applyFont="1" applyFill="1" applyBorder="1" applyAlignment="1">
      <alignment horizontal="center"/>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1000000</c:v>
                </c:pt>
                <c:pt idx="1">
                  <c:v>1000000</c:v>
                </c:pt>
                <c:pt idx="2">
                  <c:v>1000000</c:v>
                </c:pt>
                <c:pt idx="3">
                  <c:v>1000000</c:v>
                </c:pt>
                <c:pt idx="4">
                  <c:v>119.27416004567138</c:v>
                </c:pt>
                <c:pt idx="5">
                  <c:v>149.561514188281</c:v>
                </c:pt>
                <c:pt idx="6">
                  <c:v>185.83333333335759</c:v>
                </c:pt>
                <c:pt idx="7">
                  <c:v>926.20631570770945</c:v>
                </c:pt>
                <c:pt idx="8">
                  <c:v>1328.2777819645421</c:v>
                </c:pt>
                <c:pt idx="9">
                  <c:v>1681.2099123330988</c:v>
                </c:pt>
                <c:pt idx="10">
                  <c:v>1913.1131031262105</c:v>
                </c:pt>
                <c:pt idx="11">
                  <c:v>2037.9405862784147</c:v>
                </c:pt>
                <c:pt idx="12">
                  <c:v>2097.9971608272308</c:v>
                </c:pt>
                <c:pt idx="13">
                  <c:v>2125.329147712132</c:v>
                </c:pt>
                <c:pt idx="14">
                  <c:v>2146.875</c:v>
                </c:pt>
                <c:pt idx="15">
                  <c:v>2108.4743346955097</c:v>
                </c:pt>
                <c:pt idx="16">
                  <c:v>2084.6114675148324</c:v>
                </c:pt>
                <c:pt idx="17">
                  <c:v>2046.9481137953117</c:v>
                </c:pt>
                <c:pt idx="18">
                  <c:v>1989.0396025816528</c:v>
                </c:pt>
                <c:pt idx="19">
                  <c:v>1903.4934577023982</c:v>
                </c:pt>
                <c:pt idx="20">
                  <c:v>1784.3023586972981</c:v>
                </c:pt>
                <c:pt idx="21">
                  <c:v>1631.098102915345</c:v>
                </c:pt>
                <c:pt idx="22">
                  <c:v>1453.3578667348015</c:v>
                </c:pt>
                <c:pt idx="23">
                  <c:v>1270.0988486929491</c:v>
                </c:pt>
                <c:pt idx="24">
                  <c:v>1102.7542744436228</c:v>
                </c:pt>
                <c:pt idx="25">
                  <c:v>966.05743568144931</c:v>
                </c:pt>
                <c:pt idx="26">
                  <c:v>864.20397284266414</c:v>
                </c:pt>
                <c:pt idx="27">
                  <c:v>793.3933997072611</c:v>
                </c:pt>
                <c:pt idx="28">
                  <c:v>746.50355102261551</c:v>
                </c:pt>
                <c:pt idx="29">
                  <c:v>667.5</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HEV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1000000</c:v>
                </c:pt>
                <c:pt idx="1">
                  <c:v>1000000</c:v>
                </c:pt>
                <c:pt idx="2">
                  <c:v>1000000</c:v>
                </c:pt>
                <c:pt idx="3">
                  <c:v>1000000</c:v>
                </c:pt>
                <c:pt idx="4">
                  <c:v>5817.1878111532897</c:v>
                </c:pt>
                <c:pt idx="5">
                  <c:v>5576.7632627082685</c:v>
                </c:pt>
                <c:pt idx="6">
                  <c:v>5288.8333333333576</c:v>
                </c:pt>
                <c:pt idx="7">
                  <c:v>5602.5853599658076</c:v>
                </c:pt>
                <c:pt idx="8">
                  <c:v>5772.9734486621273</c:v>
                </c:pt>
                <c:pt idx="9">
                  <c:v>5922.5374843617083</c:v>
                </c:pt>
                <c:pt idx="10">
                  <c:v>6020.8124050112037</c:v>
                </c:pt>
                <c:pt idx="11">
                  <c:v>6073.7112502565178</c:v>
                </c:pt>
                <c:pt idx="12">
                  <c:v>6099.1617629384727</c:v>
                </c:pt>
                <c:pt idx="13">
                  <c:v>6110.7443928846997</c:v>
                </c:pt>
                <c:pt idx="14">
                  <c:v>6119.875</c:v>
                </c:pt>
                <c:pt idx="15">
                  <c:v>5951.6096766349319</c:v>
                </c:pt>
                <c:pt idx="16">
                  <c:v>5847.0465647529927</c:v>
                </c:pt>
                <c:pt idx="17">
                  <c:v>5682.0120180237482</c:v>
                </c:pt>
                <c:pt idx="18">
                  <c:v>5428.2665610715621</c:v>
                </c:pt>
                <c:pt idx="19">
                  <c:v>5053.4175938308936</c:v>
                </c:pt>
                <c:pt idx="20">
                  <c:v>4531.1420379960437</c:v>
                </c:pt>
                <c:pt idx="21">
                  <c:v>3859.8264908396181</c:v>
                </c:pt>
                <c:pt idx="22">
                  <c:v>3080.9983617237081</c:v>
                </c:pt>
                <c:pt idx="23">
                  <c:v>2277.9878491227419</c:v>
                </c:pt>
                <c:pt idx="24">
                  <c:v>1544.7117801750601</c:v>
                </c:pt>
                <c:pt idx="25">
                  <c:v>945.72898665012781</c:v>
                </c:pt>
                <c:pt idx="26">
                  <c:v>499.42406655241393</c:v>
                </c:pt>
                <c:pt idx="27">
                  <c:v>189.14392187738667</c:v>
                </c:pt>
                <c:pt idx="28">
                  <c:v>150</c:v>
                </c:pt>
                <c:pt idx="29">
                  <c:v>100</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BEV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1000000</c:v>
                </c:pt>
                <c:pt idx="1">
                  <c:v>1000000</c:v>
                </c:pt>
                <c:pt idx="2">
                  <c:v>1000000</c:v>
                </c:pt>
                <c:pt idx="3">
                  <c:v>1000000</c:v>
                </c:pt>
                <c:pt idx="4">
                  <c:v>234567.37950945646</c:v>
                </c:pt>
                <c:pt idx="5">
                  <c:v>212198.98686087714</c:v>
                </c:pt>
                <c:pt idx="6">
                  <c:v>185410.83333333337</c:v>
                </c:pt>
                <c:pt idx="7">
                  <c:v>153399.55329746869</c:v>
                </c:pt>
                <c:pt idx="8">
                  <c:v>136015.3123713588</c:v>
                </c:pt>
                <c:pt idx="9">
                  <c:v>120755.69387116659</c:v>
                </c:pt>
                <c:pt idx="10">
                  <c:v>110728.96658854511</c:v>
                </c:pt>
                <c:pt idx="11">
                  <c:v>105331.83890495136</c:v>
                </c:pt>
                <c:pt idx="12">
                  <c:v>102735.1911724644</c:v>
                </c:pt>
                <c:pt idx="13">
                  <c:v>101553.44642091604</c:v>
                </c:pt>
                <c:pt idx="14">
                  <c:v>100621.875</c:v>
                </c:pt>
                <c:pt idx="15">
                  <c:v>98351.271402470971</c:v>
                </c:pt>
                <c:pt idx="16">
                  <c:v>96940.277305411233</c:v>
                </c:pt>
                <c:pt idx="17">
                  <c:v>94713.270409242934</c:v>
                </c:pt>
                <c:pt idx="18">
                  <c:v>91289.181976225431</c:v>
                </c:pt>
                <c:pt idx="19">
                  <c:v>86230.900230912463</c:v>
                </c:pt>
                <c:pt idx="20">
                  <c:v>79183.216654378979</c:v>
                </c:pt>
                <c:pt idx="21">
                  <c:v>70124.359689872741</c:v>
                </c:pt>
                <c:pt idx="22">
                  <c:v>59614.707930010998</c:v>
                </c:pt>
                <c:pt idx="23">
                  <c:v>48778.734585642778</c:v>
                </c:pt>
                <c:pt idx="24">
                  <c:v>38883.770805599823</c:v>
                </c:pt>
                <c:pt idx="25">
                  <c:v>30800.985483962722</c:v>
                </c:pt>
                <c:pt idx="26">
                  <c:v>24778.46380865504</c:v>
                </c:pt>
                <c:pt idx="27">
                  <c:v>20591.485775085952</c:v>
                </c:pt>
                <c:pt idx="28">
                  <c:v>17818.922897158511</c:v>
                </c:pt>
                <c:pt idx="29">
                  <c:v>13147.5</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FCEV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1000000</c:v>
                </c:pt>
                <c:pt idx="1">
                  <c:v>1000000</c:v>
                </c:pt>
                <c:pt idx="2">
                  <c:v>1000000</c:v>
                </c:pt>
                <c:pt idx="3">
                  <c:v>1000000</c:v>
                </c:pt>
                <c:pt idx="4">
                  <c:v>82769.352682547236</c:v>
                </c:pt>
                <c:pt idx="5">
                  <c:v>75629.930640704086</c:v>
                </c:pt>
                <c:pt idx="6">
                  <c:v>67079.833333333358</c:v>
                </c:pt>
                <c:pt idx="7">
                  <c:v>62164.647097111483</c:v>
                </c:pt>
                <c:pt idx="8">
                  <c:v>59495.376089159094</c:v>
                </c:pt>
                <c:pt idx="9">
                  <c:v>57152.331176924781</c:v>
                </c:pt>
                <c:pt idx="10">
                  <c:v>55612.772875017552</c:v>
                </c:pt>
                <c:pt idx="11">
                  <c:v>54784.068503439463</c:v>
                </c:pt>
                <c:pt idx="12">
                  <c:v>54385.365072001012</c:v>
                </c:pt>
                <c:pt idx="13">
                  <c:v>54203.913548318422</c:v>
                </c:pt>
                <c:pt idx="14">
                  <c:v>54060.875</c:v>
                </c:pt>
                <c:pt idx="15">
                  <c:v>53035.341997820513</c:v>
                </c:pt>
                <c:pt idx="16">
                  <c:v>52398.057262611786</c:v>
                </c:pt>
                <c:pt idx="17">
                  <c:v>51392.21499644639</c:v>
                </c:pt>
                <c:pt idx="18">
                  <c:v>49845.703005422496</c:v>
                </c:pt>
                <c:pt idx="19">
                  <c:v>47561.096890209017</c:v>
                </c:pt>
                <c:pt idx="20">
                  <c:v>44377.964394286326</c:v>
                </c:pt>
                <c:pt idx="21">
                  <c:v>40286.472251300744</c:v>
                </c:pt>
                <c:pt idx="22">
                  <c:v>35539.719126765405</c:v>
                </c:pt>
                <c:pt idx="23">
                  <c:v>30645.580719039648</c:v>
                </c:pt>
                <c:pt idx="24">
                  <c:v>26176.455450829933</c:v>
                </c:pt>
                <c:pt idx="25">
                  <c:v>22525.812465021441</c:v>
                </c:pt>
                <c:pt idx="26">
                  <c:v>19805.70106332592</c:v>
                </c:pt>
                <c:pt idx="27">
                  <c:v>17914.624982279245</c:v>
                </c:pt>
                <c:pt idx="28">
                  <c:v>16662.378779980143</c:v>
                </c:pt>
                <c:pt idx="29">
                  <c:v>14552.5</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0</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6.1940987651005122</c:v>
                </c:pt>
                <c:pt idx="1">
                  <c:v>6.3185291641470567</c:v>
                </c:pt>
                <c:pt idx="2">
                  <c:v>6.4751097824714527</c:v>
                </c:pt>
                <c:pt idx="3">
                  <c:v>6.6492529214040559</c:v>
                </c:pt>
                <c:pt idx="4">
                  <c:v>6.8393988538764896</c:v>
                </c:pt>
                <c:pt idx="5">
                  <c:v>7.029765080205796</c:v>
                </c:pt>
                <c:pt idx="6">
                  <c:v>7.2347440826554212</c:v>
                </c:pt>
                <c:pt idx="7">
                  <c:v>7.3264307414802223</c:v>
                </c:pt>
                <c:pt idx="8">
                  <c:v>7.5042230311669371</c:v>
                </c:pt>
                <c:pt idx="9">
                  <c:v>7.665004330826771</c:v>
                </c:pt>
                <c:pt idx="10">
                  <c:v>7.8124608729980709</c:v>
                </c:pt>
                <c:pt idx="11">
                  <c:v>7.8283446817637188</c:v>
                </c:pt>
                <c:pt idx="12">
                  <c:v>7.8442607844998591</c:v>
                </c:pt>
                <c:pt idx="13">
                  <c:v>7.8602092468645806</c:v>
                </c:pt>
                <c:pt idx="14">
                  <c:v>7.8761901346494616</c:v>
                </c:pt>
                <c:pt idx="15">
                  <c:v>7.8768612391973623</c:v>
                </c:pt>
                <c:pt idx="16">
                  <c:v>7.8780700934087866</c:v>
                </c:pt>
                <c:pt idx="17">
                  <c:v>7.8790193478605959</c:v>
                </c:pt>
                <c:pt idx="18">
                  <c:v>7.8800990704038281</c:v>
                </c:pt>
                <c:pt idx="19">
                  <c:v>7.8815296451121526</c:v>
                </c:pt>
                <c:pt idx="20">
                  <c:v>7.8832558955587535</c:v>
                </c:pt>
                <c:pt idx="21">
                  <c:v>7.8853279467657602</c:v>
                </c:pt>
                <c:pt idx="22">
                  <c:v>7.8877646562024601</c:v>
                </c:pt>
                <c:pt idx="23">
                  <c:v>7.8915292676605535</c:v>
                </c:pt>
                <c:pt idx="24">
                  <c:v>7.8947420423053876</c:v>
                </c:pt>
                <c:pt idx="25">
                  <c:v>7.8983368628838031</c:v>
                </c:pt>
                <c:pt idx="26">
                  <c:v>7.9033031638622333</c:v>
                </c:pt>
                <c:pt idx="27">
                  <c:v>7.9078559909468771</c:v>
                </c:pt>
                <c:pt idx="28">
                  <c:v>7.9130968993474111</c:v>
                </c:pt>
                <c:pt idx="29">
                  <c:v>7.919161701164132</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6.2615821752815934</c:v>
                </c:pt>
                <c:pt idx="1">
                  <c:v>6.4130192856702335</c:v>
                </c:pt>
                <c:pt idx="2">
                  <c:v>6.5602147424272754</c:v>
                </c:pt>
                <c:pt idx="3">
                  <c:v>6.7786280542435247</c:v>
                </c:pt>
                <c:pt idx="4">
                  <c:v>7.0195534780143252</c:v>
                </c:pt>
                <c:pt idx="5">
                  <c:v>7.2120255546737706</c:v>
                </c:pt>
                <c:pt idx="6">
                  <c:v>7.4425281044242979</c:v>
                </c:pt>
                <c:pt idx="7">
                  <c:v>7.6363608701175529</c:v>
                </c:pt>
                <c:pt idx="8">
                  <c:v>7.7416248737565976</c:v>
                </c:pt>
                <c:pt idx="9">
                  <c:v>7.8340239922549006</c:v>
                </c:pt>
                <c:pt idx="10">
                  <c:v>7.8947372245238103</c:v>
                </c:pt>
                <c:pt idx="11">
                  <c:v>7.9274175854634077</c:v>
                </c:pt>
                <c:pt idx="12">
                  <c:v>7.9431406496756214</c:v>
                </c:pt>
                <c:pt idx="13">
                  <c:v>7.9502962789812752</c:v>
                </c:pt>
                <c:pt idx="14">
                  <c:v>7.955937073874658</c:v>
                </c:pt>
                <c:pt idx="15">
                  <c:v>7.9993981272727916</c:v>
                </c:pt>
                <c:pt idx="16">
                  <c:v>8.0264056110376814</c:v>
                </c:pt>
                <c:pt idx="17">
                  <c:v>8.0690321909205434</c:v>
                </c:pt>
                <c:pt idx="18">
                  <c:v>8.1345718079586096</c:v>
                </c:pt>
                <c:pt idx="19">
                  <c:v>8.2313911089035603</c:v>
                </c:pt>
                <c:pt idx="20">
                  <c:v>8.3662890508367997</c:v>
                </c:pt>
                <c:pt idx="21">
                  <c:v>8.5396823576601122</c:v>
                </c:pt>
                <c:pt idx="22">
                  <c:v>8.7408449634219512</c:v>
                </c:pt>
                <c:pt idx="23">
                  <c:v>8.9482536087058957</c:v>
                </c:pt>
                <c:pt idx="24">
                  <c:v>9.1376506261707853</c:v>
                </c:pt>
                <c:pt idx="25">
                  <c:v>9.2923611907323895</c:v>
                </c:pt>
                <c:pt idx="26">
                  <c:v>9.4076367660934146</c:v>
                </c:pt>
                <c:pt idx="27">
                  <c:v>9.4877786614430857</c:v>
                </c:pt>
                <c:pt idx="28">
                  <c:v>9.5408475914044502</c:v>
                </c:pt>
                <c:pt idx="29">
                  <c:v>9.6302621242624156</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9.1754044778337533</c:v>
                </c:pt>
                <c:pt idx="1">
                  <c:v>9.3862055833604501</c:v>
                </c:pt>
                <c:pt idx="2">
                  <c:v>9.5911022888856703</c:v>
                </c:pt>
                <c:pt idx="3">
                  <c:v>9.8951345533316424</c:v>
                </c:pt>
                <c:pt idx="4">
                  <c:v>10.230503773927802</c:v>
                </c:pt>
                <c:pt idx="5">
                  <c:v>10.498425728055857</c:v>
                </c:pt>
                <c:pt idx="6">
                  <c:v>10.81928626342552</c:v>
                </c:pt>
                <c:pt idx="7">
                  <c:v>11.301180035708263</c:v>
                </c:pt>
                <c:pt idx="8">
                  <c:v>11.562880206047257</c:v>
                </c:pt>
                <c:pt idx="9">
                  <c:v>11.792596578351473</c:v>
                </c:pt>
                <c:pt idx="10">
                  <c:v>11.94353766625734</c:v>
                </c:pt>
                <c:pt idx="11">
                  <c:v>12.024785345701106</c:v>
                </c:pt>
                <c:pt idx="12">
                  <c:v>12.063874953167465</c:v>
                </c:pt>
                <c:pt idx="13">
                  <c:v>12.081664789611395</c:v>
                </c:pt>
                <c:pt idx="14">
                  <c:v>12.095688548288747</c:v>
                </c:pt>
                <c:pt idx="15">
                  <c:v>12.212826057193588</c:v>
                </c:pt>
                <c:pt idx="16">
                  <c:v>12.285617421476143</c:v>
                </c:pt>
                <c:pt idx="17">
                  <c:v>12.4005058328285</c:v>
                </c:pt>
                <c:pt idx="18">
                  <c:v>12.577150135581316</c:v>
                </c:pt>
                <c:pt idx="19">
                  <c:v>12.838100362045148</c:v>
                </c:pt>
                <c:pt idx="20">
                  <c:v>13.20168126124001</c:v>
                </c:pt>
                <c:pt idx="21">
                  <c:v>13.669015999677978</c:v>
                </c:pt>
                <c:pt idx="22">
                  <c:v>14.211195369052399</c:v>
                </c:pt>
                <c:pt idx="23">
                  <c:v>14.77020924778485</c:v>
                </c:pt>
                <c:pt idx="24">
                  <c:v>15.280677657664587</c:v>
                </c:pt>
                <c:pt idx="25">
                  <c:v>15.697658119872758</c:v>
                </c:pt>
                <c:pt idx="26">
                  <c:v>16.00835223977051</c:v>
                </c:pt>
                <c:pt idx="27">
                  <c:v>16.22435303234624</c:v>
                </c:pt>
                <c:pt idx="28">
                  <c:v>16.367385972642769</c:v>
                </c:pt>
                <c:pt idx="29">
                  <c:v>16.608378650453059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BEV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23.280326203585055</c:v>
                </c:pt>
                <c:pt idx="1">
                  <c:v>23.66606848153625</c:v>
                </c:pt>
                <c:pt idx="2">
                  <c:v>24.041006372571086</c:v>
                </c:pt>
                <c:pt idx="3">
                  <c:v>24.597351169554116</c:v>
                </c:pt>
                <c:pt idx="4">
                  <c:v>25.211039066419026</c:v>
                </c:pt>
                <c:pt idx="5">
                  <c:v>25.701306063075751</c:v>
                </c:pt>
                <c:pt idx="6">
                  <c:v>26.288444700270691</c:v>
                </c:pt>
                <c:pt idx="7">
                  <c:v>27.330590010718229</c:v>
                </c:pt>
                <c:pt idx="8">
                  <c:v>27.896543797525187</c:v>
                </c:pt>
                <c:pt idx="9">
                  <c:v>28.393329300678349</c:v>
                </c:pt>
                <c:pt idx="10">
                  <c:v>28.71975507325018</c:v>
                </c:pt>
                <c:pt idx="11">
                  <c:v>28.895461614789355</c:v>
                </c:pt>
                <c:pt idx="12">
                  <c:v>28.979996949029776</c:v>
                </c:pt>
                <c:pt idx="13">
                  <c:v>29.018469317194757</c:v>
                </c:pt>
                <c:pt idx="14">
                  <c:v>29.048797151213481</c:v>
                </c:pt>
                <c:pt idx="15">
                  <c:v>29.322623280929417</c:v>
                </c:pt>
                <c:pt idx="16">
                  <c:v>29.492783784977927</c:v>
                </c:pt>
                <c:pt idx="17">
                  <c:v>29.761352318865608</c:v>
                </c:pt>
                <c:pt idx="18">
                  <c:v>30.174284318285775</c:v>
                </c:pt>
                <c:pt idx="19">
                  <c:v>30.784293795430589</c:v>
                </c:pt>
                <c:pt idx="20" formatCode="0.000">
                  <c:v>31.634217542281366</c:v>
                </c:pt>
                <c:pt idx="21" formatCode="0.000">
                  <c:v>32.726681125506744</c:v>
                </c:pt>
                <c:pt idx="22" formatCode="0.000">
                  <c:v>33.994105025124</c:v>
                </c:pt>
                <c:pt idx="23" formatCode="0.000">
                  <c:v>35.300882062658161</c:v>
                </c:pt>
                <c:pt idx="24" formatCode="0.000">
                  <c:v>36.494176937429401</c:v>
                </c:pt>
                <c:pt idx="25" formatCode="0.000">
                  <c:v>37.468930005008986</c:v>
                </c:pt>
                <c:pt idx="26" formatCode="0.000">
                  <c:v>38.195223138374267</c:v>
                </c:pt>
                <c:pt idx="27" formatCode="0.000">
                  <c:v>38.700156712594591</c:v>
                </c:pt>
                <c:pt idx="28" formatCode="0.000">
                  <c:v>39.034517216155471</c:v>
                </c:pt>
                <c:pt idx="29">
                  <c:v>39.597872992384907</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FCEV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14.926377042494044</c:v>
                </c:pt>
                <c:pt idx="1">
                  <c:v>15.2238918000733</c:v>
                </c:pt>
                <c:pt idx="2">
                  <c:v>15.513073365420471</c:v>
                </c:pt>
                <c:pt idx="3">
                  <c:v>15.942170192151579</c:v>
                </c:pt>
                <c:pt idx="4">
                  <c:v>16.415494523710052</c:v>
                </c:pt>
                <c:pt idx="5">
                  <c:v>16.79362695823124</c:v>
                </c:pt>
                <c:pt idx="6">
                  <c:v>17.246474414409146</c:v>
                </c:pt>
                <c:pt idx="7">
                  <c:v>17.881442405291828</c:v>
                </c:pt>
                <c:pt idx="8">
                  <c:v>18.226271994158786</c:v>
                </c:pt>
                <c:pt idx="9">
                  <c:v>18.528958087618573</c:v>
                </c:pt>
                <c:pt idx="10">
                  <c:v>18.727845819400677</c:v>
                </c:pt>
                <c:pt idx="11">
                  <c:v>18.834901935805558</c:v>
                </c:pt>
                <c:pt idx="12">
                  <c:v>18.886408410769384</c:v>
                </c:pt>
                <c:pt idx="13">
                  <c:v>18.909849213192345</c:v>
                </c:pt>
                <c:pt idx="14">
                  <c:v>18.928327638073828</c:v>
                </c:pt>
                <c:pt idx="15">
                  <c:v>19.143733302863581</c:v>
                </c:pt>
                <c:pt idx="16">
                  <c:v>19.277590274561476</c:v>
                </c:pt>
                <c:pt idx="17">
                  <c:v>19.488860045067671</c:v>
                </c:pt>
                <c:pt idx="18">
                  <c:v>19.813693514906142</c:v>
                </c:pt>
                <c:pt idx="19">
                  <c:v>20.293558227191788</c:v>
                </c:pt>
                <c:pt idx="20" formatCode="0.000">
                  <c:v>20.96215179750196</c:v>
                </c:pt>
                <c:pt idx="21" formatCode="0.000">
                  <c:v>21.821539631115151</c:v>
                </c:pt>
                <c:pt idx="22" formatCode="0.000">
                  <c:v>22.818560214763242</c:v>
                </c:pt>
                <c:pt idx="23" formatCode="0.000">
                  <c:v>23.846537993195302</c:v>
                </c:pt>
                <c:pt idx="24" formatCode="0.000">
                  <c:v>24.785244887445899</c:v>
                </c:pt>
                <c:pt idx="25" formatCode="0.000">
                  <c:v>25.552035597834465</c:v>
                </c:pt>
                <c:pt idx="26" formatCode="0.000">
                  <c:v>26.123374992606923</c:v>
                </c:pt>
                <c:pt idx="27" formatCode="0.000">
                  <c:v>26.520581615446122</c:v>
                </c:pt>
                <c:pt idx="28" formatCode="0.000">
                  <c:v>26.783606720550903</c:v>
                </c:pt>
                <c:pt idx="29">
                  <c:v>27.226771241109038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0</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formatCode="0.000">
                  <c:v>1</c:v>
                </c:pt>
                <c:pt idx="21" formatCode="0.000">
                  <c:v>1</c:v>
                </c:pt>
                <c:pt idx="22" formatCode="0.000">
                  <c:v>1</c:v>
                </c:pt>
                <c:pt idx="23" formatCode="0.000">
                  <c:v>1</c:v>
                </c:pt>
                <c:pt idx="24" formatCode="0.000">
                  <c:v>1</c:v>
                </c:pt>
                <c:pt idx="25" formatCode="0.000">
                  <c:v>1</c:v>
                </c:pt>
                <c:pt idx="26" formatCode="0.000">
                  <c:v>1</c:v>
                </c:pt>
                <c:pt idx="27" formatCode="0.000">
                  <c:v>1</c:v>
                </c:pt>
                <c:pt idx="28" formatCode="0.000">
                  <c:v>1</c:v>
                </c:pt>
                <c:pt idx="29">
                  <c:v>1</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Prices'!$L$10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Prices'!$L$20:$L$54</c:f>
              <c:numCache>
                <c:formatCode>0.00</c:formatCode>
                <c:ptCount val="35"/>
                <c:pt idx="0">
                  <c:v>2.4607750383</c:v>
                </c:pt>
                <c:pt idx="1">
                  <c:v>2.6483203237999997</c:v>
                </c:pt>
                <c:pt idx="2">
                  <c:v>2.4982517782999998</c:v>
                </c:pt>
                <c:pt idx="3">
                  <c:v>2.3072631266000001</c:v>
                </c:pt>
                <c:pt idx="4">
                  <c:v>2.1581926662999997</c:v>
                </c:pt>
                <c:pt idx="5">
                  <c:v>2.2220753897000001</c:v>
                </c:pt>
                <c:pt idx="6">
                  <c:v>2.3180440002</c:v>
                </c:pt>
                <c:pt idx="7">
                  <c:v>2.3789120790999996</c:v>
                </c:pt>
                <c:pt idx="8">
                  <c:v>2.4462025227999997</c:v>
                </c:pt>
                <c:pt idx="9">
                  <c:v>2.5423436760999998</c:v>
                </c:pt>
                <c:pt idx="10">
                  <c:v>2.6351098423000003</c:v>
                </c:pt>
                <c:pt idx="11">
                  <c:v>2.6814202466000001</c:v>
                </c:pt>
                <c:pt idx="12">
                  <c:v>2.7092284870000003</c:v>
                </c:pt>
                <c:pt idx="13">
                  <c:v>2.7218504644000001</c:v>
                </c:pt>
                <c:pt idx="14">
                  <c:v>2.7875235273999999</c:v>
                </c:pt>
                <c:pt idx="15">
                  <c:v>2.7886107967</c:v>
                </c:pt>
                <c:pt idx="16">
                  <c:v>2.7989653065000004</c:v>
                </c:pt>
                <c:pt idx="17">
                  <c:v>2.8426743922999997</c:v>
                </c:pt>
                <c:pt idx="18">
                  <c:v>2.8718464697999999</c:v>
                </c:pt>
                <c:pt idx="19">
                  <c:v>2.9020944431999998</c:v>
                </c:pt>
                <c:pt idx="20">
                  <c:v>2.9367464189999999</c:v>
                </c:pt>
                <c:pt idx="21">
                  <c:v>2.9738664226</c:v>
                </c:pt>
                <c:pt idx="22">
                  <c:v>3.0082705415</c:v>
                </c:pt>
                <c:pt idx="23">
                  <c:v>3.0392608373000001</c:v>
                </c:pt>
                <c:pt idx="24">
                  <c:v>3.0655303399</c:v>
                </c:pt>
                <c:pt idx="25">
                  <c:v>3.0901154696999997</c:v>
                </c:pt>
                <c:pt idx="26">
                  <c:v>3.1309375150000003</c:v>
                </c:pt>
                <c:pt idx="27">
                  <c:v>3.1604148712000004</c:v>
                </c:pt>
                <c:pt idx="28">
                  <c:v>3.1896047023</c:v>
                </c:pt>
                <c:pt idx="29">
                  <c:v>3.2189538996999998</c:v>
                </c:pt>
                <c:pt idx="30">
                  <c:v>3.2471061161000003</c:v>
                </c:pt>
                <c:pt idx="31">
                  <c:v>3.2848652493000001</c:v>
                </c:pt>
                <c:pt idx="32">
                  <c:v>3.3233626826</c:v>
                </c:pt>
                <c:pt idx="33">
                  <c:v>3.352030863</c:v>
                </c:pt>
                <c:pt idx="34">
                  <c:v>3.3791730659999999</c:v>
                </c:pt>
              </c:numCache>
            </c:numRef>
          </c:yVal>
          <c:smooth val="0"/>
          <c:extLst>
            <c:ext xmlns:c16="http://schemas.microsoft.com/office/drawing/2014/chart" uri="{C3380CC4-5D6E-409C-BE32-E72D297353CC}">
              <c16:uniqueId val="{00000000-4541-4D22-B6C9-430A005C3FBE}"/>
            </c:ext>
          </c:extLst>
        </c:ser>
        <c:ser>
          <c:idx val="1"/>
          <c:order val="1"/>
          <c:tx>
            <c:strRef>
              <c:f>'Fuel Prices'!$M$10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Prices'!$M$20:$M$54</c:f>
              <c:numCache>
                <c:formatCode>0.00</c:formatCode>
                <c:ptCount val="35"/>
                <c:pt idx="0">
                  <c:v>2.8866715579999997</c:v>
                </c:pt>
                <c:pt idx="1">
                  <c:v>3.0717348069999999</c:v>
                </c:pt>
                <c:pt idx="2">
                  <c:v>4.0546080845000008</c:v>
                </c:pt>
                <c:pt idx="3">
                  <c:v>3.4034132489000002</c:v>
                </c:pt>
                <c:pt idx="4">
                  <c:v>3.3626239367999999</c:v>
                </c:pt>
                <c:pt idx="5">
                  <c:v>4.1484497305000003</c:v>
                </c:pt>
                <c:pt idx="6">
                  <c:v>3.9427928603</c:v>
                </c:pt>
                <c:pt idx="7">
                  <c:v>3.9693303313000001</c:v>
                </c:pt>
                <c:pt idx="8">
                  <c:v>3.9557344024999996</c:v>
                </c:pt>
                <c:pt idx="9">
                  <c:v>3.8645553803999997</c:v>
                </c:pt>
                <c:pt idx="10">
                  <c:v>3.8748079457000002</c:v>
                </c:pt>
                <c:pt idx="11">
                  <c:v>3.906070787</c:v>
                </c:pt>
                <c:pt idx="12">
                  <c:v>3.9425590120999998</c:v>
                </c:pt>
                <c:pt idx="13">
                  <c:v>3.9825774296000001</c:v>
                </c:pt>
                <c:pt idx="14">
                  <c:v>4.1690301751999996</c:v>
                </c:pt>
                <c:pt idx="15">
                  <c:v>4.2148440334999995</c:v>
                </c:pt>
                <c:pt idx="16">
                  <c:v>4.2371157860000004</c:v>
                </c:pt>
                <c:pt idx="17">
                  <c:v>4.3286236657999995</c:v>
                </c:pt>
                <c:pt idx="18">
                  <c:v>4.3961668208999995</c:v>
                </c:pt>
                <c:pt idx="19">
                  <c:v>4.5460403541999996</c:v>
                </c:pt>
                <c:pt idx="20">
                  <c:v>4.5301583720000007</c:v>
                </c:pt>
                <c:pt idx="21">
                  <c:v>4.5541910596999999</c:v>
                </c:pt>
                <c:pt idx="22">
                  <c:v>4.6833720787000006</c:v>
                </c:pt>
                <c:pt idx="23">
                  <c:v>4.8228482439000002</c:v>
                </c:pt>
                <c:pt idx="24">
                  <c:v>4.9389298800999999</c:v>
                </c:pt>
                <c:pt idx="25">
                  <c:v>4.9815619604000005</c:v>
                </c:pt>
                <c:pt idx="26">
                  <c:v>5.1984468730000009</c:v>
                </c:pt>
                <c:pt idx="27">
                  <c:v>5.2616254165000003</c:v>
                </c:pt>
                <c:pt idx="28">
                  <c:v>5.3186230719000003</c:v>
                </c:pt>
                <c:pt idx="29">
                  <c:v>5.3775811130999998</c:v>
                </c:pt>
                <c:pt idx="30">
                  <c:v>5.4459231802000003</c:v>
                </c:pt>
                <c:pt idx="31">
                  <c:v>5.8892092123999999</c:v>
                </c:pt>
                <c:pt idx="32">
                  <c:v>6.0396134119000005</c:v>
                </c:pt>
                <c:pt idx="33">
                  <c:v>6.0461980557000006</c:v>
                </c:pt>
                <c:pt idx="34">
                  <c:v>6.0878223418000008</c:v>
                </c:pt>
              </c:numCache>
            </c:numRef>
          </c:yVal>
          <c:smooth val="0"/>
          <c:extLst>
            <c:ext xmlns:c16="http://schemas.microsoft.com/office/drawing/2014/chart" uri="{C3380CC4-5D6E-409C-BE32-E72D297353CC}">
              <c16:uniqueId val="{00000001-4541-4D22-B6C9-430A005C3FBE}"/>
            </c:ext>
          </c:extLst>
        </c:ser>
        <c:ser>
          <c:idx val="2"/>
          <c:order val="2"/>
          <c:tx>
            <c:strRef>
              <c:f>'Fuel Prices'!$N$10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Prices'!$N$20:$N$54</c:f>
              <c:numCache>
                <c:formatCode>0.00</c:formatCode>
                <c:ptCount val="35"/>
                <c:pt idx="0">
                  <c:v>2.3764717027073621</c:v>
                </c:pt>
                <c:pt idx="1">
                  <c:v>2.7192177228680126</c:v>
                </c:pt>
                <c:pt idx="2">
                  <c:v>3.1539051953725492</c:v>
                </c:pt>
                <c:pt idx="3">
                  <c:v>3.0750999464</c:v>
                </c:pt>
                <c:pt idx="4">
                  <c:v>3.0450786087999999</c:v>
                </c:pt>
                <c:pt idx="5">
                  <c:v>3.0484153147000002</c:v>
                </c:pt>
                <c:pt idx="6">
                  <c:v>3.049122546</c:v>
                </c:pt>
                <c:pt idx="7">
                  <c:v>3.0368191624999996</c:v>
                </c:pt>
                <c:pt idx="8">
                  <c:v>2.9963287488999999</c:v>
                </c:pt>
                <c:pt idx="9">
                  <c:v>3.0301893025000002</c:v>
                </c:pt>
                <c:pt idx="10">
                  <c:v>3.0557904098000002</c:v>
                </c:pt>
                <c:pt idx="11">
                  <c:v>3.0930660348000001</c:v>
                </c:pt>
                <c:pt idx="12">
                  <c:v>3.1085611826999999</c:v>
                </c:pt>
                <c:pt idx="13">
                  <c:v>3.1495392654999996</c:v>
                </c:pt>
                <c:pt idx="14">
                  <c:v>3.2470346856000001</c:v>
                </c:pt>
                <c:pt idx="15">
                  <c:v>3.2696197614</c:v>
                </c:pt>
                <c:pt idx="16">
                  <c:v>3.2985170742000003</c:v>
                </c:pt>
                <c:pt idx="17">
                  <c:v>3.3571509735000005</c:v>
                </c:pt>
                <c:pt idx="18">
                  <c:v>3.4109461846000002</c:v>
                </c:pt>
                <c:pt idx="19">
                  <c:v>3.4464768249000004</c:v>
                </c:pt>
                <c:pt idx="20">
                  <c:v>3.4876880623999997</c:v>
                </c:pt>
                <c:pt idx="21">
                  <c:v>3.4984045792000003</c:v>
                </c:pt>
                <c:pt idx="22">
                  <c:v>3.5367266957000001</c:v>
                </c:pt>
                <c:pt idx="23">
                  <c:v>3.5841453130000001</c:v>
                </c:pt>
                <c:pt idx="24">
                  <c:v>3.5969122319000002</c:v>
                </c:pt>
                <c:pt idx="25">
                  <c:v>3.6225756155000002</c:v>
                </c:pt>
                <c:pt idx="26">
                  <c:v>3.6784767087000003</c:v>
                </c:pt>
                <c:pt idx="27">
                  <c:v>3.7083321611</c:v>
                </c:pt>
                <c:pt idx="28">
                  <c:v>3.7374068712000006</c:v>
                </c:pt>
                <c:pt idx="29">
                  <c:v>3.7855228720999996</c:v>
                </c:pt>
                <c:pt idx="30">
                  <c:v>3.7972923992999998</c:v>
                </c:pt>
                <c:pt idx="31">
                  <c:v>3.8634043091000003</c:v>
                </c:pt>
                <c:pt idx="32">
                  <c:v>3.9080202155000006</c:v>
                </c:pt>
                <c:pt idx="33">
                  <c:v>3.9420429093999996</c:v>
                </c:pt>
                <c:pt idx="34">
                  <c:v>3.9710414731999997</c:v>
                </c:pt>
              </c:numCache>
            </c:numRef>
          </c:yVal>
          <c:smooth val="0"/>
          <c:extLst>
            <c:ext xmlns:c16="http://schemas.microsoft.com/office/drawing/2014/chart" uri="{C3380CC4-5D6E-409C-BE32-E72D297353CC}">
              <c16:uniqueId val="{00000002-4541-4D22-B6C9-430A005C3FBE}"/>
            </c:ext>
          </c:extLst>
        </c:ser>
        <c:ser>
          <c:idx val="3"/>
          <c:order val="3"/>
          <c:tx>
            <c:strRef>
              <c:f>'Fuel Prices'!$O$10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Prices'!$O$20:$O$54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4541-4D22-B6C9-430A005C3FBE}"/>
            </c:ext>
          </c:extLst>
        </c:ser>
        <c:ser>
          <c:idx val="4"/>
          <c:order val="4"/>
          <c:tx>
            <c:strRef>
              <c:f>'Fuel Prices'!$P$10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Prices'!$P$20:$P$54</c:f>
              <c:numCache>
                <c:formatCode>0.00</c:formatCode>
                <c:ptCount val="35"/>
                <c:pt idx="0">
                  <c:v>2.1630814994688117</c:v>
                </c:pt>
                <c:pt idx="1">
                  <c:v>2.5410077401730158</c:v>
                </c:pt>
                <c:pt idx="2">
                  <c:v>3.1215686750645015</c:v>
                </c:pt>
                <c:pt idx="3">
                  <c:v>3.0667662955999999</c:v>
                </c:pt>
                <c:pt idx="4">
                  <c:v>2.9604023974999998</c:v>
                </c:pt>
                <c:pt idx="5">
                  <c:v>2.9759791010000001</c:v>
                </c:pt>
                <c:pt idx="6">
                  <c:v>3.0226090701000001</c:v>
                </c:pt>
                <c:pt idx="7">
                  <c:v>3.0399664042000003</c:v>
                </c:pt>
                <c:pt idx="8">
                  <c:v>3.0947866083000006</c:v>
                </c:pt>
                <c:pt idx="9">
                  <c:v>3.1132364822999996</c:v>
                </c:pt>
                <c:pt idx="10">
                  <c:v>3.1703064004000003</c:v>
                </c:pt>
                <c:pt idx="11">
                  <c:v>3.1782780441999998</c:v>
                </c:pt>
                <c:pt idx="12">
                  <c:v>3.2270252688000003</c:v>
                </c:pt>
                <c:pt idx="13">
                  <c:v>3.2571352357000003</c:v>
                </c:pt>
                <c:pt idx="14">
                  <c:v>3.3250624511</c:v>
                </c:pt>
                <c:pt idx="15">
                  <c:v>3.3623350247000001</c:v>
                </c:pt>
                <c:pt idx="16">
                  <c:v>3.3867238939999997</c:v>
                </c:pt>
                <c:pt idx="17">
                  <c:v>3.4412127438</c:v>
                </c:pt>
                <c:pt idx="18">
                  <c:v>3.4689811772999999</c:v>
                </c:pt>
                <c:pt idx="19">
                  <c:v>3.5000631538000002</c:v>
                </c:pt>
                <c:pt idx="20">
                  <c:v>3.5356003130000002</c:v>
                </c:pt>
                <c:pt idx="21">
                  <c:v>3.5596248174</c:v>
                </c:pt>
                <c:pt idx="22">
                  <c:v>3.5897074603999997</c:v>
                </c:pt>
                <c:pt idx="23">
                  <c:v>3.6205475440999995</c:v>
                </c:pt>
                <c:pt idx="24">
                  <c:v>3.6207084361000001</c:v>
                </c:pt>
                <c:pt idx="25">
                  <c:v>3.6438585756999999</c:v>
                </c:pt>
                <c:pt idx="26">
                  <c:v>3.6971650080000003</c:v>
                </c:pt>
                <c:pt idx="27">
                  <c:v>3.7195882209</c:v>
                </c:pt>
                <c:pt idx="28">
                  <c:v>3.7486809619999999</c:v>
                </c:pt>
                <c:pt idx="29">
                  <c:v>3.8001622410000002</c:v>
                </c:pt>
                <c:pt idx="30">
                  <c:v>3.8024309569000003</c:v>
                </c:pt>
                <c:pt idx="31">
                  <c:v>3.8379313605999998</c:v>
                </c:pt>
                <c:pt idx="32">
                  <c:v>3.8705042234000002</c:v>
                </c:pt>
                <c:pt idx="33">
                  <c:v>3.8942058342000001</c:v>
                </c:pt>
                <c:pt idx="34">
                  <c:v>3.9160477553999997</c:v>
                </c:pt>
              </c:numCache>
            </c:numRef>
          </c:yVal>
          <c:smooth val="0"/>
          <c:extLst>
            <c:ext xmlns:c16="http://schemas.microsoft.com/office/drawing/2014/chart" uri="{C3380CC4-5D6E-409C-BE32-E72D297353CC}">
              <c16:uniqueId val="{00000004-4541-4D22-B6C9-430A005C3FBE}"/>
            </c:ext>
          </c:extLst>
        </c:ser>
        <c:ser>
          <c:idx val="5"/>
          <c:order val="5"/>
          <c:tx>
            <c:strRef>
              <c:f>'Fuel Prices'!$Q$10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Prices'!$Q$20:$Q$54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4541-4D22-B6C9-430A005C3FBE}"/>
            </c:ext>
          </c:extLst>
        </c:ser>
        <c:ser>
          <c:idx val="6"/>
          <c:order val="6"/>
          <c:tx>
            <c:strRef>
              <c:f>'Fuel Prices'!$R$10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Prices'!$R$20:$R$54</c:f>
              <c:numCache>
                <c:formatCode>0.00</c:formatCode>
                <c:ptCount val="35"/>
                <c:pt idx="0">
                  <c:v>1.9804923068000002</c:v>
                </c:pt>
                <c:pt idx="1">
                  <c:v>2.0450301102999999</c:v>
                </c:pt>
                <c:pt idx="2">
                  <c:v>1.9962652707999997</c:v>
                </c:pt>
                <c:pt idx="3">
                  <c:v>1.8999955426000001</c:v>
                </c:pt>
                <c:pt idx="4">
                  <c:v>1.8427490594</c:v>
                </c:pt>
                <c:pt idx="5">
                  <c:v>1.7557410236999997</c:v>
                </c:pt>
                <c:pt idx="6">
                  <c:v>1.7220682699000001</c:v>
                </c:pt>
                <c:pt idx="7">
                  <c:v>1.7235798225000001</c:v>
                </c:pt>
                <c:pt idx="8">
                  <c:v>1.7061753304</c:v>
                </c:pt>
                <c:pt idx="9">
                  <c:v>1.7074268204999998</c:v>
                </c:pt>
                <c:pt idx="10">
                  <c:v>1.7011875397</c:v>
                </c:pt>
                <c:pt idx="11">
                  <c:v>1.6843683616</c:v>
                </c:pt>
                <c:pt idx="12">
                  <c:v>1.6564777334</c:v>
                </c:pt>
                <c:pt idx="13">
                  <c:v>1.6192083499000001</c:v>
                </c:pt>
                <c:pt idx="14">
                  <c:v>1.677856674</c:v>
                </c:pt>
                <c:pt idx="15">
                  <c:v>1.6401003148</c:v>
                </c:pt>
                <c:pt idx="16">
                  <c:v>1.6165575155</c:v>
                </c:pt>
                <c:pt idx="17">
                  <c:v>1.6161251876</c:v>
                </c:pt>
                <c:pt idx="18">
                  <c:v>1.6037445481999999</c:v>
                </c:pt>
                <c:pt idx="19">
                  <c:v>1.5888370722</c:v>
                </c:pt>
                <c:pt idx="20">
                  <c:v>1.5765260602</c:v>
                </c:pt>
                <c:pt idx="21">
                  <c:v>1.5735329142000001</c:v>
                </c:pt>
                <c:pt idx="22">
                  <c:v>1.5687870162999999</c:v>
                </c:pt>
                <c:pt idx="23">
                  <c:v>1.5631330495</c:v>
                </c:pt>
                <c:pt idx="24">
                  <c:v>1.5565119276000001</c:v>
                </c:pt>
                <c:pt idx="25">
                  <c:v>1.5498526632</c:v>
                </c:pt>
                <c:pt idx="26">
                  <c:v>1.5479304199000001</c:v>
                </c:pt>
                <c:pt idx="27">
                  <c:v>1.5455116305999999</c:v>
                </c:pt>
                <c:pt idx="28">
                  <c:v>1.5443081307000002</c:v>
                </c:pt>
                <c:pt idx="29">
                  <c:v>1.5433963169</c:v>
                </c:pt>
                <c:pt idx="30">
                  <c:v>1.5468521661000001</c:v>
                </c:pt>
                <c:pt idx="31">
                  <c:v>1.5521216565</c:v>
                </c:pt>
                <c:pt idx="32">
                  <c:v>1.5548082754999999</c:v>
                </c:pt>
                <c:pt idx="33">
                  <c:v>1.5578132109999998</c:v>
                </c:pt>
                <c:pt idx="34">
                  <c:v>1.5641831472000001</c:v>
                </c:pt>
              </c:numCache>
            </c:numRef>
          </c:yVal>
          <c:smooth val="0"/>
          <c:extLst>
            <c:ext xmlns:c16="http://schemas.microsoft.com/office/drawing/2014/chart" uri="{C3380CC4-5D6E-409C-BE32-E72D297353CC}">
              <c16:uniqueId val="{00000006-4541-4D22-B6C9-430A005C3FBE}"/>
            </c:ext>
          </c:extLst>
        </c:ser>
        <c:ser>
          <c:idx val="7"/>
          <c:order val="7"/>
          <c:tx>
            <c:strRef>
              <c:f>'Fuel Prices'!$S$10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Prices'!$S$20:$S$54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4541-4D22-B6C9-430A005C3FBE}"/>
            </c:ext>
          </c:extLst>
        </c:ser>
        <c:ser>
          <c:idx val="8"/>
          <c:order val="8"/>
          <c:tx>
            <c:strRef>
              <c:f>'Fuel Prices'!$T$10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Prices'!$T$20:$T$54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4541-4D22-B6C9-430A005C3FBE}"/>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2885-41ED-88DC-8D510D19064A}"/>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2885-41ED-88DC-8D510D19064A}"/>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2885-41ED-88DC-8D510D19064A}"/>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2885-41ED-88DC-8D510D19064A}"/>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2885-41ED-88DC-8D510D19064A}"/>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2885-41ED-88DC-8D510D19064A}"/>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2885-41ED-88DC-8D510D19064A}"/>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2885-41ED-88DC-8D510D19064A}"/>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2885-41ED-88DC-8D510D19064A}"/>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CB58-468D-A673-9176F6A4250D}"/>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0</c:v>
                </c:pt>
                <c:pt idx="7">
                  <c:v>0</c:v>
                </c:pt>
                <c:pt idx="8">
                  <c:v>0</c:v>
                </c:pt>
                <c:pt idx="9">
                  <c:v>0</c:v>
                </c:pt>
                <c:pt idx="10">
                  <c:v>1.7472785808178248E-2</c:v>
                </c:pt>
                <c:pt idx="11">
                  <c:v>2.5006663836713273E-2</c:v>
                </c:pt>
                <c:pt idx="12">
                  <c:v>0.13373217112693742</c:v>
                </c:pt>
                <c:pt idx="13">
                  <c:v>0.25753203072815617</c:v>
                </c:pt>
                <c:pt idx="14">
                  <c:v>0.3886081029999694</c:v>
                </c:pt>
                <c:pt idx="15">
                  <c:v>0.46921754894663203</c:v>
                </c:pt>
                <c:pt idx="16">
                  <c:v>0.50781829961263558</c:v>
                </c:pt>
                <c:pt idx="17">
                  <c:v>0.51888133006589743</c:v>
                </c:pt>
                <c:pt idx="18">
                  <c:v>0.52630149539339521</c:v>
                </c:pt>
                <c:pt idx="19">
                  <c:v>0.52717065404711727</c:v>
                </c:pt>
                <c:pt idx="20">
                  <c:v>0.52437944926272129</c:v>
                </c:pt>
                <c:pt idx="21">
                  <c:v>0.521327643678549</c:v>
                </c:pt>
                <c:pt idx="22">
                  <c:v>0.51593661560162263</c:v>
                </c:pt>
                <c:pt idx="23">
                  <c:v>0.51136027848254084</c:v>
                </c:pt>
                <c:pt idx="24">
                  <c:v>0.5054325223440056</c:v>
                </c:pt>
                <c:pt idx="25">
                  <c:v>0.50169327767292693</c:v>
                </c:pt>
                <c:pt idx="26">
                  <c:v>0.49773324665922403</c:v>
                </c:pt>
                <c:pt idx="27">
                  <c:v>0.49256124684003438</c:v>
                </c:pt>
                <c:pt idx="28">
                  <c:v>0.47110531919589282</c:v>
                </c:pt>
                <c:pt idx="29">
                  <c:v>0.42958125682857295</c:v>
                </c:pt>
                <c:pt idx="30">
                  <c:v>0.39051015548131157</c:v>
                </c:pt>
                <c:pt idx="31">
                  <c:v>0.35653973261536331</c:v>
                </c:pt>
                <c:pt idx="32">
                  <c:v>0.3345140113789572</c:v>
                </c:pt>
                <c:pt idx="33">
                  <c:v>0.32101336571842698</c:v>
                </c:pt>
                <c:pt idx="34">
                  <c:v>0.30532035093126542</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0</c:v>
                </c:pt>
                <c:pt idx="7">
                  <c:v>0</c:v>
                </c:pt>
                <c:pt idx="8">
                  <c:v>0</c:v>
                </c:pt>
                <c:pt idx="9">
                  <c:v>0</c:v>
                </c:pt>
                <c:pt idx="10">
                  <c:v>1.2229059527142662E-2</c:v>
                </c:pt>
                <c:pt idx="11">
                  <c:v>2.6103373664197498E-2</c:v>
                </c:pt>
                <c:pt idx="12">
                  <c:v>9.1793800443930457E-2</c:v>
                </c:pt>
                <c:pt idx="13">
                  <c:v>0.18366748391789486</c:v>
                </c:pt>
                <c:pt idx="14">
                  <c:v>0.29212332416584391</c:v>
                </c:pt>
                <c:pt idx="15">
                  <c:v>0.36782504202599731</c:v>
                </c:pt>
                <c:pt idx="16">
                  <c:v>0.40728108959577536</c:v>
                </c:pt>
                <c:pt idx="17">
                  <c:v>0.42793861381503862</c:v>
                </c:pt>
                <c:pt idx="18">
                  <c:v>0.43390732339815058</c:v>
                </c:pt>
                <c:pt idx="19">
                  <c:v>0.43754166517040544</c:v>
                </c:pt>
                <c:pt idx="20">
                  <c:v>0.44689279353288036</c:v>
                </c:pt>
                <c:pt idx="21">
                  <c:v>0.4505616561297735</c:v>
                </c:pt>
                <c:pt idx="22">
                  <c:v>0.4560656622388603</c:v>
                </c:pt>
                <c:pt idx="23">
                  <c:v>0.46339993370365984</c:v>
                </c:pt>
                <c:pt idx="24">
                  <c:v>0.46960988806327864</c:v>
                </c:pt>
                <c:pt idx="25">
                  <c:v>0.47487393669429812</c:v>
                </c:pt>
                <c:pt idx="26">
                  <c:v>0.4783126342319961</c:v>
                </c:pt>
                <c:pt idx="27">
                  <c:v>0.47836821646620853</c:v>
                </c:pt>
                <c:pt idx="28">
                  <c:v>0.45991136714020608</c:v>
                </c:pt>
                <c:pt idx="29">
                  <c:v>0.42154359083611259</c:v>
                </c:pt>
                <c:pt idx="30">
                  <c:v>0.3839670087167516</c:v>
                </c:pt>
                <c:pt idx="31">
                  <c:v>0.35123857116362855</c:v>
                </c:pt>
                <c:pt idx="32">
                  <c:v>0.33024025102418753</c:v>
                </c:pt>
                <c:pt idx="33">
                  <c:v>0.31678760659453087</c:v>
                </c:pt>
                <c:pt idx="34">
                  <c:v>0.30141633344883256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3.7681145724110859E-3</c:v>
                </c:pt>
                <c:pt idx="30">
                  <c:v>2.6041889524488982E-2</c:v>
                </c:pt>
                <c:pt idx="31">
                  <c:v>5.6938748322546223E-2</c:v>
                </c:pt>
                <c:pt idx="32">
                  <c:v>8.0163711520206432E-2</c:v>
                </c:pt>
                <c:pt idx="33">
                  <c:v>9.691392310964711E-2</c:v>
                </c:pt>
                <c:pt idx="34">
                  <c:v>0.11886655861549225</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8.4214970218314343E-5</c:v>
                </c:pt>
                <c:pt idx="27">
                  <c:v>7.3031509512565158E-3</c:v>
                </c:pt>
                <c:pt idx="28">
                  <c:v>4.6494113247989036E-2</c:v>
                </c:pt>
                <c:pt idx="29">
                  <c:v>0.12249234154648506</c:v>
                </c:pt>
                <c:pt idx="30">
                  <c:v>0.17632987558241847</c:v>
                </c:pt>
                <c:pt idx="31">
                  <c:v>0.21173581339885883</c:v>
                </c:pt>
                <c:pt idx="32">
                  <c:v>0.23126207123095197</c:v>
                </c:pt>
                <c:pt idx="33">
                  <c:v>0.24206068907758299</c:v>
                </c:pt>
                <c:pt idx="34">
                  <c:v>0.25087162683859543</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0</c:v>
                </c:pt>
                <c:pt idx="6">
                  <c:v>0</c:v>
                </c:pt>
                <c:pt idx="7">
                  <c:v>0</c:v>
                </c:pt>
                <c:pt idx="8">
                  <c:v>0</c:v>
                </c:pt>
                <c:pt idx="9">
                  <c:v>0</c:v>
                </c:pt>
                <c:pt idx="10">
                  <c:v>1.5708954429323567E-2</c:v>
                </c:pt>
                <c:pt idx="11">
                  <c:v>2.875422772767746E-2</c:v>
                </c:pt>
                <c:pt idx="12">
                  <c:v>8.0888287451767418E-2</c:v>
                </c:pt>
                <c:pt idx="13">
                  <c:v>0.16351387104699308</c:v>
                </c:pt>
                <c:pt idx="14">
                  <c:v>0.26795370157813092</c:v>
                </c:pt>
                <c:pt idx="15">
                  <c:v>0.34337242485940267</c:v>
                </c:pt>
                <c:pt idx="16">
                  <c:v>0.38573668714086523</c:v>
                </c:pt>
                <c:pt idx="17">
                  <c:v>0.40502006745994856</c:v>
                </c:pt>
                <c:pt idx="18">
                  <c:v>0.41826000154672027</c:v>
                </c:pt>
                <c:pt idx="19">
                  <c:v>0.42045352216717435</c:v>
                </c:pt>
                <c:pt idx="20">
                  <c:v>0.42466074010282373</c:v>
                </c:pt>
                <c:pt idx="21">
                  <c:v>0.42853834807516999</c:v>
                </c:pt>
                <c:pt idx="22">
                  <c:v>0.42995525085731218</c:v>
                </c:pt>
                <c:pt idx="23">
                  <c:v>0.4320343761121988</c:v>
                </c:pt>
                <c:pt idx="24">
                  <c:v>0.43472219054524586</c:v>
                </c:pt>
                <c:pt idx="25">
                  <c:v>0.43786189338117859</c:v>
                </c:pt>
                <c:pt idx="26">
                  <c:v>0.42483585679512359</c:v>
                </c:pt>
                <c:pt idx="27">
                  <c:v>0.40402984731193337</c:v>
                </c:pt>
                <c:pt idx="28">
                  <c:v>0.38016719644447733</c:v>
                </c:pt>
                <c:pt idx="29">
                  <c:v>0.35661673898862034</c:v>
                </c:pt>
                <c:pt idx="30">
                  <c:v>0.33563497753718341</c:v>
                </c:pt>
                <c:pt idx="31">
                  <c:v>0.32118265011059421</c:v>
                </c:pt>
                <c:pt idx="32">
                  <c:v>0.31062857925424725</c:v>
                </c:pt>
                <c:pt idx="33">
                  <c:v>0.30556079564799193</c:v>
                </c:pt>
                <c:pt idx="34">
                  <c:v>0.29796086746685541</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0</c:v>
                </c:pt>
                <c:pt idx="6">
                  <c:v>0</c:v>
                </c:pt>
                <c:pt idx="7">
                  <c:v>0</c:v>
                </c:pt>
                <c:pt idx="8">
                  <c:v>0</c:v>
                </c:pt>
                <c:pt idx="9">
                  <c:v>0</c:v>
                </c:pt>
                <c:pt idx="10">
                  <c:v>1.0404075057887159E-2</c:v>
                </c:pt>
                <c:pt idx="11">
                  <c:v>2.1076556490584503E-2</c:v>
                </c:pt>
                <c:pt idx="12">
                  <c:v>5.9718027547068037E-2</c:v>
                </c:pt>
                <c:pt idx="13">
                  <c:v>0.12472165720697762</c:v>
                </c:pt>
                <c:pt idx="14">
                  <c:v>0.20823916223879566</c:v>
                </c:pt>
                <c:pt idx="15">
                  <c:v>0.27779779651750725</c:v>
                </c:pt>
                <c:pt idx="16">
                  <c:v>0.31547987798659005</c:v>
                </c:pt>
                <c:pt idx="17">
                  <c:v>0.33447611845654551</c:v>
                </c:pt>
                <c:pt idx="18">
                  <c:v>0.34359870319609198</c:v>
                </c:pt>
                <c:pt idx="19">
                  <c:v>0.35019831774485632</c:v>
                </c:pt>
                <c:pt idx="20">
                  <c:v>0.35978371904340867</c:v>
                </c:pt>
                <c:pt idx="21">
                  <c:v>0.36434861403935909</c:v>
                </c:pt>
                <c:pt idx="22">
                  <c:v>0.37279836136704791</c:v>
                </c:pt>
                <c:pt idx="23">
                  <c:v>0.38115660789615691</c:v>
                </c:pt>
                <c:pt idx="24">
                  <c:v>0.38807262538384202</c:v>
                </c:pt>
                <c:pt idx="25">
                  <c:v>0.39545362829303443</c:v>
                </c:pt>
                <c:pt idx="26">
                  <c:v>0.3914440450963409</c:v>
                </c:pt>
                <c:pt idx="27">
                  <c:v>0.37947042443791063</c:v>
                </c:pt>
                <c:pt idx="28">
                  <c:v>0.36044288527164037</c:v>
                </c:pt>
                <c:pt idx="29">
                  <c:v>0.33900250554501876</c:v>
                </c:pt>
                <c:pt idx="30">
                  <c:v>0.32169858910952243</c:v>
                </c:pt>
                <c:pt idx="31">
                  <c:v>0.30813495706611327</c:v>
                </c:pt>
                <c:pt idx="32">
                  <c:v>0.30007738957770824</c:v>
                </c:pt>
                <c:pt idx="33">
                  <c:v>0.29560905011130778</c:v>
                </c:pt>
                <c:pt idx="34">
                  <c:v>0.28904919673477913</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1.4547479093124974E-3</c:v>
                </c:pt>
                <c:pt idx="29">
                  <c:v>1.3386017369575676E-2</c:v>
                </c:pt>
                <c:pt idx="30">
                  <c:v>2.939041951277592E-2</c:v>
                </c:pt>
                <c:pt idx="31">
                  <c:v>4.3605923936965774E-2</c:v>
                </c:pt>
                <c:pt idx="32">
                  <c:v>5.1871000602503103E-2</c:v>
                </c:pt>
                <c:pt idx="33">
                  <c:v>5.7505727524744712E-2</c:v>
                </c:pt>
                <c:pt idx="34">
                  <c:v>6.3962099092506469E-2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1.192715609151925E-4</c:v>
                </c:pt>
                <c:pt idx="24">
                  <c:v>1.622586874389648E-3</c:v>
                </c:pt>
                <c:pt idx="25">
                  <c:v>1.0928556767626007E-2</c:v>
                </c:pt>
                <c:pt idx="26">
                  <c:v>4.1501968671052776E-2</c:v>
                </c:pt>
                <c:pt idx="27">
                  <c:v>8.6205806326115131E-2</c:v>
                </c:pt>
                <c:pt idx="28">
                  <c:v>0.13780903103686945</c:v>
                </c:pt>
                <c:pt idx="29">
                  <c:v>0.18072312116211997</c:v>
                </c:pt>
                <c:pt idx="30">
                  <c:v>0.20677236397533544</c:v>
                </c:pt>
                <c:pt idx="31">
                  <c:v>0.2253748293157371</c:v>
                </c:pt>
                <c:pt idx="32">
                  <c:v>0.23595594329387135</c:v>
                </c:pt>
                <c:pt idx="33">
                  <c:v>0.24317091644955457</c:v>
                </c:pt>
                <c:pt idx="34">
                  <c:v>0.25277156637095172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0</c:v>
                </c:pt>
                <c:pt idx="7">
                  <c:v>0</c:v>
                </c:pt>
                <c:pt idx="8">
                  <c:v>0</c:v>
                </c:pt>
                <c:pt idx="9">
                  <c:v>0</c:v>
                </c:pt>
                <c:pt idx="10">
                  <c:v>2.758977944360072E-2</c:v>
                </c:pt>
                <c:pt idx="11">
                  <c:v>6.6989677646863532E-2</c:v>
                </c:pt>
                <c:pt idx="12">
                  <c:v>8.6376671323228363E-2</c:v>
                </c:pt>
                <c:pt idx="13">
                  <c:v>8.4464622926723479E-2</c:v>
                </c:pt>
                <c:pt idx="14">
                  <c:v>5.0592029964209369E-2</c:v>
                </c:pt>
                <c:pt idx="15">
                  <c:v>7.1927411800491916E-3</c:v>
                </c:pt>
                <c:pt idx="16">
                  <c:v>1.1669405583147129E-2</c:v>
                </c:pt>
                <c:pt idx="17">
                  <c:v>1.1369779587846972E-2</c:v>
                </c:pt>
                <c:pt idx="18">
                  <c:v>7.9156904315461161E-3</c:v>
                </c:pt>
                <c:pt idx="19">
                  <c:v>4.490953179092096E-3</c:v>
                </c:pt>
                <c:pt idx="20">
                  <c:v>2.093018505965524E-2</c:v>
                </c:pt>
                <c:pt idx="21">
                  <c:v>3.4108786300720034E-2</c:v>
                </c:pt>
                <c:pt idx="22">
                  <c:v>5.9622206463218537E-2</c:v>
                </c:pt>
                <c:pt idx="23">
                  <c:v>0.10229049153494393</c:v>
                </c:pt>
                <c:pt idx="24">
                  <c:v>0.16917491271956855</c:v>
                </c:pt>
                <c:pt idx="25">
                  <c:v>0.27133754082834144</c:v>
                </c:pt>
                <c:pt idx="26">
                  <c:v>0.34351655332766651</c:v>
                </c:pt>
                <c:pt idx="27">
                  <c:v>0.39659037785086165</c:v>
                </c:pt>
                <c:pt idx="28">
                  <c:v>0.42634670581697098</c:v>
                </c:pt>
                <c:pt idx="29">
                  <c:v>0.42580920037085052</c:v>
                </c:pt>
                <c:pt idx="30">
                  <c:v>0.40619580538648292</c:v>
                </c:pt>
                <c:pt idx="31">
                  <c:v>0.37979738511012551</c:v>
                </c:pt>
                <c:pt idx="32">
                  <c:v>0.35925549938818674</c:v>
                </c:pt>
                <c:pt idx="33">
                  <c:v>0.34522391648270745</c:v>
                </c:pt>
                <c:pt idx="34">
                  <c:v>0.32289187400831754</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0</c:v>
                </c:pt>
                <c:pt idx="7">
                  <c:v>0</c:v>
                </c:pt>
                <c:pt idx="8">
                  <c:v>0</c:v>
                </c:pt>
                <c:pt idx="9">
                  <c:v>0</c:v>
                </c:pt>
                <c:pt idx="10">
                  <c:v>1.8424367061268751E-2</c:v>
                </c:pt>
                <c:pt idx="11">
                  <c:v>4.7136757018810899E-2</c:v>
                </c:pt>
                <c:pt idx="12">
                  <c:v>0.11054729736199469</c:v>
                </c:pt>
                <c:pt idx="13">
                  <c:v>0.27171859523365799</c:v>
                </c:pt>
                <c:pt idx="14">
                  <c:v>0.46144877574184251</c:v>
                </c:pt>
                <c:pt idx="15">
                  <c:v>0.59969796998326841</c:v>
                </c:pt>
                <c:pt idx="16">
                  <c:v>0.64611077674622452</c:v>
                </c:pt>
                <c:pt idx="17">
                  <c:v>0.66745253421483142</c:v>
                </c:pt>
                <c:pt idx="18">
                  <c:v>0.67805750935556197</c:v>
                </c:pt>
                <c:pt idx="19">
                  <c:v>0.68575682894469259</c:v>
                </c:pt>
                <c:pt idx="20">
                  <c:v>0.6877561890729913</c:v>
                </c:pt>
                <c:pt idx="21">
                  <c:v>0.69225730812599706</c:v>
                </c:pt>
                <c:pt idx="22">
                  <c:v>0.67957376596856811</c:v>
                </c:pt>
                <c:pt idx="23">
                  <c:v>0.6673350287995361</c:v>
                </c:pt>
                <c:pt idx="24">
                  <c:v>0.63062041011071091</c:v>
                </c:pt>
                <c:pt idx="25">
                  <c:v>0.57309005859722117</c:v>
                </c:pt>
                <c:pt idx="26">
                  <c:v>0.54385717104136289</c:v>
                </c:pt>
                <c:pt idx="27">
                  <c:v>0.51843551101347329</c:v>
                </c:pt>
                <c:pt idx="28">
                  <c:v>0.49047647678824285</c:v>
                </c:pt>
                <c:pt idx="29">
                  <c:v>0.4579843845419122</c:v>
                </c:pt>
                <c:pt idx="30">
                  <c:v>0.422345362516797</c:v>
                </c:pt>
                <c:pt idx="31">
                  <c:v>0.38917937676065834</c:v>
                </c:pt>
                <c:pt idx="32">
                  <c:v>0.36494873444586362</c:v>
                </c:pt>
                <c:pt idx="33">
                  <c:v>0.34902242993888477</c:v>
                </c:pt>
                <c:pt idx="34">
                  <c:v>0.32460517571778402</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2.1422942840650821E-5</c:v>
                </c:pt>
                <c:pt idx="27">
                  <c:v>7.5063125817791424E-4</c:v>
                </c:pt>
                <c:pt idx="28">
                  <c:v>5.938633775050421E-3</c:v>
                </c:pt>
                <c:pt idx="29">
                  <c:v>2.2038732412626823E-2</c:v>
                </c:pt>
                <c:pt idx="30">
                  <c:v>4.984013725383072E-2</c:v>
                </c:pt>
                <c:pt idx="31">
                  <c:v>8.6799733787244621E-2</c:v>
                </c:pt>
                <c:pt idx="32">
                  <c:v>0.11762811362453504</c:v>
                </c:pt>
                <c:pt idx="33">
                  <c:v>0.13710633128150429</c:v>
                </c:pt>
                <c:pt idx="34">
                  <c:v>0.17063927578789412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3.8298553516951584E-8</c:v>
                </c:pt>
                <c:pt idx="13">
                  <c:v>8.3311663119520826E-7</c:v>
                </c:pt>
                <c:pt idx="14">
                  <c:v>1.4563625076301596E-5</c:v>
                </c:pt>
                <c:pt idx="15">
                  <c:v>8.4904714275028337E-5</c:v>
                </c:pt>
                <c:pt idx="16">
                  <c:v>2.9855653083108537E-4</c:v>
                </c:pt>
                <c:pt idx="17">
                  <c:v>8.208953647478969E-4</c:v>
                </c:pt>
                <c:pt idx="18">
                  <c:v>1.4567260188232095E-3</c:v>
                </c:pt>
                <c:pt idx="19">
                  <c:v>2.4380502353631068E-3</c:v>
                </c:pt>
                <c:pt idx="20">
                  <c:v>3.3402208101384022E-3</c:v>
                </c:pt>
                <c:pt idx="21">
                  <c:v>4.1411220116496783E-3</c:v>
                </c:pt>
                <c:pt idx="22">
                  <c:v>5.3341490757954982E-3</c:v>
                </c:pt>
                <c:pt idx="23">
                  <c:v>7.2142948927732906E-3</c:v>
                </c:pt>
                <c:pt idx="24">
                  <c:v>9.8764813143874183E-3</c:v>
                </c:pt>
                <c:pt idx="25">
                  <c:v>1.540903293544686E-2</c:v>
                </c:pt>
                <c:pt idx="26">
                  <c:v>2.54902959586637E-2</c:v>
                </c:pt>
                <c:pt idx="27">
                  <c:v>4.1026251855639566E-2</c:v>
                </c:pt>
                <c:pt idx="28">
                  <c:v>6.2285364652782262E-2</c:v>
                </c:pt>
                <c:pt idx="29">
                  <c:v>9.1871814055738577E-2</c:v>
                </c:pt>
                <c:pt idx="30">
                  <c:v>0.12127094722947243</c:v>
                </c:pt>
                <c:pt idx="31">
                  <c:v>0.14412662682787364</c:v>
                </c:pt>
                <c:pt idx="32">
                  <c:v>0.15815376850142249</c:v>
                </c:pt>
                <c:pt idx="33">
                  <c:v>0.16863860217221616</c:v>
                </c:pt>
                <c:pt idx="34">
                  <c:v>0.1818598045639086</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114290.39175651137</c:v>
                </c:pt>
                <c:pt idx="2">
                  <c:v>114290.39175651137</c:v>
                </c:pt>
                <c:pt idx="3">
                  <c:v>114290.39175651137</c:v>
                </c:pt>
                <c:pt idx="4">
                  <c:v>114290.39175651137</c:v>
                </c:pt>
                <c:pt idx="5">
                  <c:v>114290.39175651137</c:v>
                </c:pt>
                <c:pt idx="6">
                  <c:v>113840.96943556053</c:v>
                </c:pt>
                <c:pt idx="7">
                  <c:v>113243.59214505146</c:v>
                </c:pt>
                <c:pt idx="8">
                  <c:v>111519.76672938296</c:v>
                </c:pt>
                <c:pt idx="9">
                  <c:v>107986.82403189724</c:v>
                </c:pt>
                <c:pt idx="10">
                  <c:v>101311.23062052895</c:v>
                </c:pt>
                <c:pt idx="11">
                  <c:v>89642.886469506077</c:v>
                </c:pt>
                <c:pt idx="12">
                  <c:v>74085.945605906367</c:v>
                </c:pt>
                <c:pt idx="13">
                  <c:v>61659.004201203548</c:v>
                </c:pt>
                <c:pt idx="14">
                  <c:v>53681.670509979434</c:v>
                </c:pt>
                <c:pt idx="15">
                  <c:v>50347.100837708051</c:v>
                </c:pt>
                <c:pt idx="16">
                  <c:v>45101.624157301849</c:v>
                </c:pt>
                <c:pt idx="17">
                  <c:v>44741.460967342391</c:v>
                </c:pt>
                <c:pt idx="18">
                  <c:v>44674.924447163256</c:v>
                </c:pt>
                <c:pt idx="19">
                  <c:v>42673.427548587475</c:v>
                </c:pt>
                <c:pt idx="20">
                  <c:v>42984.552480765255</c:v>
                </c:pt>
                <c:pt idx="21">
                  <c:v>42053.87571152085</c:v>
                </c:pt>
                <c:pt idx="22">
                  <c:v>42672.036369544418</c:v>
                </c:pt>
                <c:pt idx="23">
                  <c:v>41236.338240394092</c:v>
                </c:pt>
                <c:pt idx="24">
                  <c:v>42119.680938235178</c:v>
                </c:pt>
                <c:pt idx="25">
                  <c:v>42380.901458030989</c:v>
                </c:pt>
                <c:pt idx="26">
                  <c:v>43022.559966335139</c:v>
                </c:pt>
                <c:pt idx="27">
                  <c:v>43489.507406767625</c:v>
                </c:pt>
                <c:pt idx="28">
                  <c:v>43809.239363026376</c:v>
                </c:pt>
                <c:pt idx="29">
                  <c:v>43074.745793614165</c:v>
                </c:pt>
                <c:pt idx="30">
                  <c:v>43428.883474980466</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0</c:v>
                </c:pt>
                <c:pt idx="2">
                  <c:v>0</c:v>
                </c:pt>
                <c:pt idx="3">
                  <c:v>0</c:v>
                </c:pt>
                <c:pt idx="4">
                  <c:v>0</c:v>
                </c:pt>
                <c:pt idx="5">
                  <c:v>0</c:v>
                </c:pt>
                <c:pt idx="6">
                  <c:v>128582.94405017627</c:v>
                </c:pt>
                <c:pt idx="7">
                  <c:v>138573.6150445173</c:v>
                </c:pt>
                <c:pt idx="8">
                  <c:v>121809.2613728702</c:v>
                </c:pt>
                <c:pt idx="9">
                  <c:v>120289.45733679635</c:v>
                </c:pt>
                <c:pt idx="10">
                  <c:v>118476.01147467815</c:v>
                </c:pt>
                <c:pt idx="11">
                  <c:v>117738.87668817262</c:v>
                </c:pt>
                <c:pt idx="12">
                  <c:v>117394.06055294762</c:v>
                </c:pt>
                <c:pt idx="13">
                  <c:v>117077.9012980486</c:v>
                </c:pt>
                <c:pt idx="14">
                  <c:v>116988.24681360256</c:v>
                </c:pt>
                <c:pt idx="15">
                  <c:v>117035.46403496241</c:v>
                </c:pt>
                <c:pt idx="16">
                  <c:v>117085.51710328675</c:v>
                </c:pt>
                <c:pt idx="17">
                  <c:v>117146.19786982932</c:v>
                </c:pt>
                <c:pt idx="18">
                  <c:v>117453.86922309575</c:v>
                </c:pt>
                <c:pt idx="19">
                  <c:v>117545.88572791572</c:v>
                </c:pt>
                <c:pt idx="20">
                  <c:v>117708.12657592581</c:v>
                </c:pt>
                <c:pt idx="21">
                  <c:v>117844.72870219551</c:v>
                </c:pt>
                <c:pt idx="22">
                  <c:v>118244.27519876804</c:v>
                </c:pt>
                <c:pt idx="23">
                  <c:v>117888.14811884692</c:v>
                </c:pt>
                <c:pt idx="24">
                  <c:v>117034.7370024979</c:v>
                </c:pt>
                <c:pt idx="25">
                  <c:v>116072.97336039356</c:v>
                </c:pt>
                <c:pt idx="26">
                  <c:v>115854.24396127385</c:v>
                </c:pt>
                <c:pt idx="27">
                  <c:v>116189.57999612275</c:v>
                </c:pt>
                <c:pt idx="28">
                  <c:v>116774.33344258829</c:v>
                </c:pt>
                <c:pt idx="29">
                  <c:v>117353.61147982744</c:v>
                </c:pt>
                <c:pt idx="30">
                  <c:v>118191.96419131645</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0</c:v>
                </c:pt>
                <c:pt idx="2">
                  <c:v>0</c:v>
                </c:pt>
                <c:pt idx="3">
                  <c:v>0</c:v>
                </c:pt>
                <c:pt idx="4">
                  <c:v>0</c:v>
                </c:pt>
                <c:pt idx="5">
                  <c:v>0</c:v>
                </c:pt>
                <c:pt idx="6">
                  <c:v>135161.65345240093</c:v>
                </c:pt>
                <c:pt idx="7">
                  <c:v>137392.78685820216</c:v>
                </c:pt>
                <c:pt idx="8">
                  <c:v>129829.06179913373</c:v>
                </c:pt>
                <c:pt idx="9">
                  <c:v>128080.88949373727</c:v>
                </c:pt>
                <c:pt idx="10">
                  <c:v>126011.87779527201</c:v>
                </c:pt>
                <c:pt idx="11">
                  <c:v>124832.35912470637</c:v>
                </c:pt>
                <c:pt idx="12">
                  <c:v>124250.26265673785</c:v>
                </c:pt>
                <c:pt idx="13">
                  <c:v>123852.67007793652</c:v>
                </c:pt>
                <c:pt idx="14">
                  <c:v>123632.88597791757</c:v>
                </c:pt>
                <c:pt idx="15">
                  <c:v>123446.35429225268</c:v>
                </c:pt>
                <c:pt idx="16">
                  <c:v>122972.62385224024</c:v>
                </c:pt>
                <c:pt idx="17">
                  <c:v>122731.42507071499</c:v>
                </c:pt>
                <c:pt idx="18">
                  <c:v>122260.81085871617</c:v>
                </c:pt>
                <c:pt idx="19">
                  <c:v>121695.16695218475</c:v>
                </c:pt>
                <c:pt idx="20">
                  <c:v>121187.24991691072</c:v>
                </c:pt>
                <c:pt idx="21">
                  <c:v>120673.59801162493</c:v>
                </c:pt>
                <c:pt idx="22">
                  <c:v>120163.40628753258</c:v>
                </c:pt>
                <c:pt idx="23">
                  <c:v>119388.17474786601</c:v>
                </c:pt>
                <c:pt idx="24">
                  <c:v>118054.36288932999</c:v>
                </c:pt>
                <c:pt idx="25">
                  <c:v>116863.26206702544</c:v>
                </c:pt>
                <c:pt idx="26">
                  <c:v>116499.90114570722</c:v>
                </c:pt>
                <c:pt idx="27">
                  <c:v>116691.49509928653</c:v>
                </c:pt>
                <c:pt idx="28">
                  <c:v>117191.67297749156</c:v>
                </c:pt>
                <c:pt idx="29">
                  <c:v>117676.81333267366</c:v>
                </c:pt>
                <c:pt idx="30">
                  <c:v>118470.04727774908</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123558.54189963592</c:v>
                </c:pt>
                <c:pt idx="26">
                  <c:v>119794.93012652351</c:v>
                </c:pt>
                <c:pt idx="27">
                  <c:v>116644.0736028137</c:v>
                </c:pt>
                <c:pt idx="28">
                  <c:v>114474.12557013299</c:v>
                </c:pt>
                <c:pt idx="29">
                  <c:v>113350.29476066025</c:v>
                </c:pt>
                <c:pt idx="30">
                  <c:v>111453.45363165952</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222372.66400609436</c:v>
                </c:pt>
                <c:pt idx="23">
                  <c:v>198813.40030482376</c:v>
                </c:pt>
                <c:pt idx="24">
                  <c:v>157820.63887026592</c:v>
                </c:pt>
                <c:pt idx="25">
                  <c:v>139603.76790576326</c:v>
                </c:pt>
                <c:pt idx="26">
                  <c:v>132820.44426439438</c:v>
                </c:pt>
                <c:pt idx="27">
                  <c:v>128990.96808488294</c:v>
                </c:pt>
                <c:pt idx="28">
                  <c:v>126852.75420913014</c:v>
                </c:pt>
                <c:pt idx="29">
                  <c:v>125548.12411672399</c:v>
                </c:pt>
                <c:pt idx="30">
                  <c:v>124567.77939636599</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76984.800905352895</c:v>
                </c:pt>
                <c:pt idx="2">
                  <c:v>76984.800905352895</c:v>
                </c:pt>
                <c:pt idx="3">
                  <c:v>76984.800905352895</c:v>
                </c:pt>
                <c:pt idx="4">
                  <c:v>76984.800905352895</c:v>
                </c:pt>
                <c:pt idx="5">
                  <c:v>76984.800905352895</c:v>
                </c:pt>
                <c:pt idx="6">
                  <c:v>76336.345842549999</c:v>
                </c:pt>
                <c:pt idx="7">
                  <c:v>75544.313279591894</c:v>
                </c:pt>
                <c:pt idx="8">
                  <c:v>73090.896382154824</c:v>
                </c:pt>
                <c:pt idx="9">
                  <c:v>68519.685579103403</c:v>
                </c:pt>
                <c:pt idx="10">
                  <c:v>61483.582062782531</c:v>
                </c:pt>
                <c:pt idx="11">
                  <c:v>54207.761033938034</c:v>
                </c:pt>
                <c:pt idx="12">
                  <c:v>49026.649935024863</c:v>
                </c:pt>
                <c:pt idx="13">
                  <c:v>46340.696639412556</c:v>
                </c:pt>
                <c:pt idx="14">
                  <c:v>44514.631615169012</c:v>
                </c:pt>
                <c:pt idx="15">
                  <c:v>43793.313722105624</c:v>
                </c:pt>
                <c:pt idx="16">
                  <c:v>42969.894716500625</c:v>
                </c:pt>
                <c:pt idx="17">
                  <c:v>42383.524810766517</c:v>
                </c:pt>
                <c:pt idx="18">
                  <c:v>41538.993824072968</c:v>
                </c:pt>
                <c:pt idx="19">
                  <c:v>40906.976688313196</c:v>
                </c:pt>
                <c:pt idx="20">
                  <c:v>40182.243918956534</c:v>
                </c:pt>
                <c:pt idx="21">
                  <c:v>38599.335137714646</c:v>
                </c:pt>
                <c:pt idx="22">
                  <c:v>37549.786517885812</c:v>
                </c:pt>
                <c:pt idx="23">
                  <c:v>36590.223901634694</c:v>
                </c:pt>
                <c:pt idx="24">
                  <c:v>35726.814756552914</c:v>
                </c:pt>
                <c:pt idx="25">
                  <c:v>34691.909992319888</c:v>
                </c:pt>
                <c:pt idx="26">
                  <c:v>34376.013619035613</c:v>
                </c:pt>
                <c:pt idx="27">
                  <c:v>34148.354989070795</c:v>
                </c:pt>
                <c:pt idx="28">
                  <c:v>34100.43244891525</c:v>
                </c:pt>
                <c:pt idx="29">
                  <c:v>33723.800819263153</c:v>
                </c:pt>
                <c:pt idx="30">
                  <c:v>33532.569574409368</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0</c:v>
                </c:pt>
                <c:pt idx="2">
                  <c:v>0</c:v>
                </c:pt>
                <c:pt idx="3">
                  <c:v>0</c:v>
                </c:pt>
                <c:pt idx="4">
                  <c:v>0</c:v>
                </c:pt>
                <c:pt idx="5">
                  <c:v>0</c:v>
                </c:pt>
                <c:pt idx="6">
                  <c:v>108317.01950125158</c:v>
                </c:pt>
                <c:pt idx="7">
                  <c:v>117632.00573859323</c:v>
                </c:pt>
                <c:pt idx="8">
                  <c:v>110716.77700539274</c:v>
                </c:pt>
                <c:pt idx="9">
                  <c:v>107444.71467280078</c:v>
                </c:pt>
                <c:pt idx="10">
                  <c:v>103311.01197672417</c:v>
                </c:pt>
                <c:pt idx="11">
                  <c:v>100361.42557153502</c:v>
                </c:pt>
                <c:pt idx="12">
                  <c:v>98569.694597028574</c:v>
                </c:pt>
                <c:pt idx="13">
                  <c:v>97201.436637853592</c:v>
                </c:pt>
                <c:pt idx="14">
                  <c:v>96589.304273536618</c:v>
                </c:pt>
                <c:pt idx="15">
                  <c:v>96302.329850048583</c:v>
                </c:pt>
                <c:pt idx="16">
                  <c:v>95391.725348226872</c:v>
                </c:pt>
                <c:pt idx="17">
                  <c:v>94878.511522627639</c:v>
                </c:pt>
                <c:pt idx="18">
                  <c:v>94748.54153983893</c:v>
                </c:pt>
                <c:pt idx="19">
                  <c:v>93976.398905110545</c:v>
                </c:pt>
                <c:pt idx="20">
                  <c:v>93270.038690928704</c:v>
                </c:pt>
                <c:pt idx="21">
                  <c:v>91644.18499570596</c:v>
                </c:pt>
                <c:pt idx="22">
                  <c:v>89811.926308236943</c:v>
                </c:pt>
                <c:pt idx="23">
                  <c:v>88024.996578046936</c:v>
                </c:pt>
                <c:pt idx="24">
                  <c:v>86685.097826649129</c:v>
                </c:pt>
                <c:pt idx="25">
                  <c:v>86303.178403272075</c:v>
                </c:pt>
                <c:pt idx="26">
                  <c:v>86886.920796995444</c:v>
                </c:pt>
                <c:pt idx="27">
                  <c:v>87530.116250055595</c:v>
                </c:pt>
                <c:pt idx="28">
                  <c:v>89192.01610568192</c:v>
                </c:pt>
                <c:pt idx="29">
                  <c:v>89904.099316947337</c:v>
                </c:pt>
                <c:pt idx="30">
                  <c:v>91384.135536366448</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0</c:v>
                </c:pt>
                <c:pt idx="2">
                  <c:v>0</c:v>
                </c:pt>
                <c:pt idx="3">
                  <c:v>0</c:v>
                </c:pt>
                <c:pt idx="4">
                  <c:v>0</c:v>
                </c:pt>
                <c:pt idx="5">
                  <c:v>0</c:v>
                </c:pt>
                <c:pt idx="6">
                  <c:v>119989.32841125144</c:v>
                </c:pt>
                <c:pt idx="7">
                  <c:v>125834.48674632437</c:v>
                </c:pt>
                <c:pt idx="8">
                  <c:v>119170.60986549578</c:v>
                </c:pt>
                <c:pt idx="9">
                  <c:v>115483.21814343214</c:v>
                </c:pt>
                <c:pt idx="10">
                  <c:v>110974.89666975659</c:v>
                </c:pt>
                <c:pt idx="11">
                  <c:v>107684.42421794398</c:v>
                </c:pt>
                <c:pt idx="12">
                  <c:v>105797.18067513166</c:v>
                </c:pt>
                <c:pt idx="13">
                  <c:v>104482.17806084047</c:v>
                </c:pt>
                <c:pt idx="14">
                  <c:v>103820.27253997134</c:v>
                </c:pt>
                <c:pt idx="15">
                  <c:v>103408.77201104045</c:v>
                </c:pt>
                <c:pt idx="16">
                  <c:v>102170.97369523835</c:v>
                </c:pt>
                <c:pt idx="17">
                  <c:v>101596.53509534481</c:v>
                </c:pt>
                <c:pt idx="18">
                  <c:v>100667.68360983748</c:v>
                </c:pt>
                <c:pt idx="19">
                  <c:v>99570.763286903399</c:v>
                </c:pt>
                <c:pt idx="20">
                  <c:v>98218.203162662117</c:v>
                </c:pt>
                <c:pt idx="21">
                  <c:v>96092.425680143278</c:v>
                </c:pt>
                <c:pt idx="22">
                  <c:v>93346.191667236359</c:v>
                </c:pt>
                <c:pt idx="23">
                  <c:v>90773.44735510493</c:v>
                </c:pt>
                <c:pt idx="24">
                  <c:v>88928.276046277999</c:v>
                </c:pt>
                <c:pt idx="25">
                  <c:v>88266.576981916034</c:v>
                </c:pt>
                <c:pt idx="26">
                  <c:v>88783.683366541794</c:v>
                </c:pt>
                <c:pt idx="27">
                  <c:v>89537.446001551201</c:v>
                </c:pt>
                <c:pt idx="28">
                  <c:v>90579.962078004406</c:v>
                </c:pt>
                <c:pt idx="29">
                  <c:v>91369.389386119903</c:v>
                </c:pt>
                <c:pt idx="30">
                  <c:v>92484.204463294096</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70768.481631958173</c:v>
                </c:pt>
                <c:pt idx="25">
                  <c:v>67202.067516968324</c:v>
                </c:pt>
                <c:pt idx="26">
                  <c:v>63551.869391742803</c:v>
                </c:pt>
                <c:pt idx="27">
                  <c:v>60392.467359194306</c:v>
                </c:pt>
                <c:pt idx="28">
                  <c:v>57728.541557597484</c:v>
                </c:pt>
                <c:pt idx="29">
                  <c:v>56236.784558150968</c:v>
                </c:pt>
                <c:pt idx="30">
                  <c:v>54635.973317814831</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216004.47683243261</c:v>
                </c:pt>
                <c:pt idx="20">
                  <c:v>205526.77192694778</c:v>
                </c:pt>
                <c:pt idx="21">
                  <c:v>178610.56065347226</c:v>
                </c:pt>
                <c:pt idx="22">
                  <c:v>149087.62024793951</c:v>
                </c:pt>
                <c:pt idx="23">
                  <c:v>130946.98840743383</c:v>
                </c:pt>
                <c:pt idx="24">
                  <c:v>118000.33183817145</c:v>
                </c:pt>
                <c:pt idx="25">
                  <c:v>110265.39289884278</c:v>
                </c:pt>
                <c:pt idx="26">
                  <c:v>106439.66506495378</c:v>
                </c:pt>
                <c:pt idx="27">
                  <c:v>103454.1186670161</c:v>
                </c:pt>
                <c:pt idx="28">
                  <c:v>101706.58329449524</c:v>
                </c:pt>
                <c:pt idx="29">
                  <c:v>100382.57642774224</c:v>
                </c:pt>
                <c:pt idx="30">
                  <c:v>98645.293080318384</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27261.021505205488</c:v>
                </c:pt>
                <c:pt idx="16">
                  <c:v>27261.021505205488</c:v>
                </c:pt>
                <c:pt idx="17">
                  <c:v>27261.021505205488</c:v>
                </c:pt>
                <c:pt idx="18">
                  <c:v>27261.021505205488</c:v>
                </c:pt>
                <c:pt idx="19">
                  <c:v>27208.072474747376</c:v>
                </c:pt>
                <c:pt idx="20">
                  <c:v>27063.933854781699</c:v>
                </c:pt>
                <c:pt idx="21">
                  <c:v>25446.27453153878</c:v>
                </c:pt>
                <c:pt idx="22">
                  <c:v>23347.413802289404</c:v>
                </c:pt>
                <c:pt idx="23">
                  <c:v>20538.352954886916</c:v>
                </c:pt>
                <c:pt idx="24">
                  <c:v>18251.88479911019</c:v>
                </c:pt>
                <c:pt idx="25">
                  <c:v>16872.404899160578</c:v>
                </c:pt>
                <c:pt idx="26">
                  <c:v>16303.536270161854</c:v>
                </c:pt>
                <c:pt idx="27">
                  <c:v>16066.821836557927</c:v>
                </c:pt>
                <c:pt idx="28">
                  <c:v>15940.263064662087</c:v>
                </c:pt>
                <c:pt idx="29">
                  <c:v>15622.959835893433</c:v>
                </c:pt>
                <c:pt idx="30">
                  <c:v>15258.69536745302</c:v>
                </c:pt>
                <c:pt idx="31">
                  <c:v>15169.490432674522</c:v>
                </c:pt>
                <c:pt idx="32">
                  <c:v>14582.185404678095</c:v>
                </c:pt>
                <c:pt idx="33">
                  <c:v>14187.935512879478</c:v>
                </c:pt>
                <c:pt idx="34">
                  <c:v>13607.914440390556</c:v>
                </c:pt>
                <c:pt idx="35">
                  <c:v>13080.562192749487</c:v>
                </c:pt>
                <c:pt idx="36">
                  <c:v>12426.37239654812</c:v>
                </c:pt>
                <c:pt idx="37">
                  <c:v>12375.679934673422</c:v>
                </c:pt>
                <c:pt idx="38">
                  <c:v>13935.931373061374</c:v>
                </c:pt>
                <c:pt idx="39">
                  <c:v>27261.021505222896</c:v>
                </c:pt>
                <c:pt idx="40">
                  <c:v>27261.021505299213</c:v>
                </c:pt>
                <c:pt idx="41">
                  <c:v>27261.021505859459</c:v>
                </c:pt>
                <c:pt idx="42">
                  <c:v>27261.021505899651</c:v>
                </c:pt>
                <c:pt idx="43">
                  <c:v>27261.021505987566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24623.537657658104</c:v>
                </c:pt>
                <c:pt idx="19">
                  <c:v>25256.49032430027</c:v>
                </c:pt>
                <c:pt idx="20">
                  <c:v>42386.989530422557</c:v>
                </c:pt>
                <c:pt idx="21">
                  <c:v>59366.883244217133</c:v>
                </c:pt>
                <c:pt idx="22">
                  <c:v>91653.985707980668</c:v>
                </c:pt>
                <c:pt idx="23">
                  <c:v>150517.29600131122</c:v>
                </c:pt>
                <c:pt idx="24">
                  <c:v>144727.67851173121</c:v>
                </c:pt>
                <c:pt idx="25">
                  <c:v>145615.38481375904</c:v>
                </c:pt>
                <c:pt idx="26">
                  <c:v>149990.1025846886</c:v>
                </c:pt>
                <c:pt idx="27">
                  <c:v>156074.06406397253</c:v>
                </c:pt>
                <c:pt idx="28">
                  <c:v>131058.00034610371</c:v>
                </c:pt>
                <c:pt idx="29">
                  <c:v>114044.96452793656</c:v>
                </c:pt>
                <c:pt idx="30">
                  <c:v>94522.826351666983</c:v>
                </c:pt>
                <c:pt idx="31">
                  <c:v>76161.550843855512</c:v>
                </c:pt>
                <c:pt idx="32">
                  <c:v>57504.907372133639</c:v>
                </c:pt>
                <c:pt idx="33">
                  <c:v>44417.694883007607</c:v>
                </c:pt>
                <c:pt idx="34">
                  <c:v>39258.534184806347</c:v>
                </c:pt>
                <c:pt idx="35">
                  <c:v>33165.928649809975</c:v>
                </c:pt>
                <c:pt idx="36">
                  <c:v>28881.303126160838</c:v>
                </c:pt>
                <c:pt idx="37">
                  <c:v>26691.093474910511</c:v>
                </c:pt>
                <c:pt idx="38">
                  <c:v>25574.901243551983</c:v>
                </c:pt>
                <c:pt idx="39">
                  <c:v>24847.331842107767</c:v>
                </c:pt>
                <c:pt idx="40">
                  <c:v>24352.106319030601</c:v>
                </c:pt>
                <c:pt idx="41">
                  <c:v>24102.711033712425</c:v>
                </c:pt>
                <c:pt idx="42">
                  <c:v>24151.051311106643</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0</c:v>
                </c:pt>
                <c:pt idx="7">
                  <c:v>0</c:v>
                </c:pt>
                <c:pt idx="8">
                  <c:v>0</c:v>
                </c:pt>
                <c:pt idx="9">
                  <c:v>0</c:v>
                </c:pt>
                <c:pt idx="10">
                  <c:v>36897.132749072225</c:v>
                </c:pt>
                <c:pt idx="11">
                  <c:v>36331.354036033299</c:v>
                </c:pt>
                <c:pt idx="12">
                  <c:v>35834.604813201877</c:v>
                </c:pt>
                <c:pt idx="13">
                  <c:v>35360.783709657539</c:v>
                </c:pt>
                <c:pt idx="14">
                  <c:v>37295.974415697528</c:v>
                </c:pt>
                <c:pt idx="15">
                  <c:v>39713.058326226324</c:v>
                </c:pt>
                <c:pt idx="16">
                  <c:v>39554.15316678735</c:v>
                </c:pt>
                <c:pt idx="17">
                  <c:v>39378.697884535737</c:v>
                </c:pt>
                <c:pt idx="18">
                  <c:v>39500.597996025361</c:v>
                </c:pt>
                <c:pt idx="19">
                  <c:v>39506.04186665098</c:v>
                </c:pt>
                <c:pt idx="20">
                  <c:v>38067.281091924589</c:v>
                </c:pt>
                <c:pt idx="21">
                  <c:v>37034.586263586534</c:v>
                </c:pt>
                <c:pt idx="22">
                  <c:v>35448.439654067821</c:v>
                </c:pt>
                <c:pt idx="23">
                  <c:v>33402.443417337745</c:v>
                </c:pt>
                <c:pt idx="24">
                  <c:v>31153.132411645216</c:v>
                </c:pt>
                <c:pt idx="25">
                  <c:v>28469.851905057683</c:v>
                </c:pt>
                <c:pt idx="26">
                  <c:v>25895.433815857923</c:v>
                </c:pt>
                <c:pt idx="27">
                  <c:v>24998.704145357864</c:v>
                </c:pt>
                <c:pt idx="28">
                  <c:v>24852.238675802313</c:v>
                </c:pt>
                <c:pt idx="29">
                  <c:v>24652.200439263703</c:v>
                </c:pt>
                <c:pt idx="30">
                  <c:v>24478.09148606945</c:v>
                </c:pt>
                <c:pt idx="31">
                  <c:v>24199.078045295901</c:v>
                </c:pt>
                <c:pt idx="32">
                  <c:v>23958.587873699162</c:v>
                </c:pt>
                <c:pt idx="33">
                  <c:v>23836.154473821003</c:v>
                </c:pt>
                <c:pt idx="34">
                  <c:v>24019.241762746951</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71513.687442424591</c:v>
                </c:pt>
                <c:pt idx="27">
                  <c:v>70351.135460889258</c:v>
                </c:pt>
                <c:pt idx="28">
                  <c:v>64754.802401262095</c:v>
                </c:pt>
                <c:pt idx="29">
                  <c:v>56400.822697203817</c:v>
                </c:pt>
                <c:pt idx="30">
                  <c:v>46116.438915148239</c:v>
                </c:pt>
                <c:pt idx="31">
                  <c:v>40234.619439829286</c:v>
                </c:pt>
                <c:pt idx="32">
                  <c:v>37815.970017757027</c:v>
                </c:pt>
                <c:pt idx="33">
                  <c:v>36315.991588203258</c:v>
                </c:pt>
                <c:pt idx="34">
                  <c:v>31995.756858289296</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225000</c:v>
                </c:pt>
                <c:pt idx="17">
                  <c:v>219029.04623716115</c:v>
                </c:pt>
                <c:pt idx="18">
                  <c:v>190973.13331796002</c:v>
                </c:pt>
                <c:pt idx="19">
                  <c:v>173176.35022149235</c:v>
                </c:pt>
                <c:pt idx="20">
                  <c:v>163714.24900133954</c:v>
                </c:pt>
                <c:pt idx="21">
                  <c:v>157298.15973081722</c:v>
                </c:pt>
                <c:pt idx="22">
                  <c:v>153301.47865910656</c:v>
                </c:pt>
                <c:pt idx="23">
                  <c:v>150087.26816660186</c:v>
                </c:pt>
                <c:pt idx="24">
                  <c:v>144310.44844163384</c:v>
                </c:pt>
                <c:pt idx="25">
                  <c:v>140103.67819712925</c:v>
                </c:pt>
                <c:pt idx="26">
                  <c:v>133883.4841279308</c:v>
                </c:pt>
                <c:pt idx="27">
                  <c:v>126362.25111372404</c:v>
                </c:pt>
                <c:pt idx="28">
                  <c:v>118853.3596383385</c:v>
                </c:pt>
                <c:pt idx="29">
                  <c:v>107165.61524896702</c:v>
                </c:pt>
                <c:pt idx="30">
                  <c:v>94372.515341325634</c:v>
                </c:pt>
                <c:pt idx="31">
                  <c:v>82179.556632107531</c:v>
                </c:pt>
                <c:pt idx="32">
                  <c:v>70401.065639914625</c:v>
                </c:pt>
                <c:pt idx="33">
                  <c:v>57569.092882664976</c:v>
                </c:pt>
                <c:pt idx="34">
                  <c:v>49451.943318607468</c:v>
                </c:pt>
                <c:pt idx="35">
                  <c:v>45698.273180871889</c:v>
                </c:pt>
                <c:pt idx="36">
                  <c:v>44098.969777074402</c:v>
                </c:pt>
                <c:pt idx="37">
                  <c:v>42789.474888513621</c:v>
                </c:pt>
                <c:pt idx="38">
                  <c:v>40729.877539560715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0</c:v>
                </c:pt>
                <c:pt idx="2">
                  <c:v>0</c:v>
                </c:pt>
                <c:pt idx="3">
                  <c:v>0</c:v>
                </c:pt>
                <c:pt idx="4">
                  <c:v>0</c:v>
                </c:pt>
                <c:pt idx="5">
                  <c:v>0</c:v>
                </c:pt>
                <c:pt idx="6">
                  <c:v>1.5530609832008792E-2</c:v>
                </c:pt>
                <c:pt idx="7">
                  <c:v>2.0624571319029204E-2</c:v>
                </c:pt>
                <c:pt idx="8">
                  <c:v>0.12547734101892083</c:v>
                </c:pt>
                <c:pt idx="9">
                  <c:v>0.24468841520633619</c:v>
                </c:pt>
                <c:pt idx="10">
                  <c:v>0.37487903060539685</c:v>
                </c:pt>
                <c:pt idx="11">
                  <c:v>0.45547451272335515</c:v>
                </c:pt>
                <c:pt idx="12">
                  <c:v>0.49439257940717268</c:v>
                </c:pt>
                <c:pt idx="13">
                  <c:v>0.50652727654727381</c:v>
                </c:pt>
                <c:pt idx="14">
                  <c:v>0.51416450565660532</c:v>
                </c:pt>
                <c:pt idx="15">
                  <c:v>0.51480584171975863</c:v>
                </c:pt>
                <c:pt idx="16">
                  <c:v>0.51186119486009207</c:v>
                </c:pt>
                <c:pt idx="17">
                  <c:v>0.5086186467249032</c:v>
                </c:pt>
                <c:pt idx="18">
                  <c:v>0.50204048882063612</c:v>
                </c:pt>
                <c:pt idx="19">
                  <c:v>0.49719789165371614</c:v>
                </c:pt>
                <c:pt idx="20">
                  <c:v>0.49075694827168082</c:v>
                </c:pt>
                <c:pt idx="21">
                  <c:v>0.48656161271114029</c:v>
                </c:pt>
                <c:pt idx="22">
                  <c:v>0.48108991031741466</c:v>
                </c:pt>
                <c:pt idx="23">
                  <c:v>0.47752907110450454</c:v>
                </c:pt>
                <c:pt idx="24">
                  <c:v>0.46005837983235476</c:v>
                </c:pt>
                <c:pt idx="25">
                  <c:v>0.42298399629818584</c:v>
                </c:pt>
                <c:pt idx="26">
                  <c:v>0.38523887540774149</c:v>
                </c:pt>
                <c:pt idx="27">
                  <c:v>0.35071187725036523</c:v>
                </c:pt>
                <c:pt idx="28">
                  <c:v>0.3273984640412409</c:v>
                </c:pt>
                <c:pt idx="29">
                  <c:v>0.31263412232815607</c:v>
                </c:pt>
                <c:pt idx="30">
                  <c:v>0.29524158226768515</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0</c:v>
                </c:pt>
                <c:pt idx="2">
                  <c:v>0</c:v>
                </c:pt>
                <c:pt idx="3">
                  <c:v>0</c:v>
                </c:pt>
                <c:pt idx="4">
                  <c:v>0</c:v>
                </c:pt>
                <c:pt idx="5">
                  <c:v>0</c:v>
                </c:pt>
                <c:pt idx="6">
                  <c:v>1.0340684420992521E-2</c:v>
                </c:pt>
                <c:pt idx="7">
                  <c:v>2.171412976233425E-2</c:v>
                </c:pt>
                <c:pt idx="8">
                  <c:v>8.0807403736671224E-2</c:v>
                </c:pt>
                <c:pt idx="9">
                  <c:v>0.16389196524853433</c:v>
                </c:pt>
                <c:pt idx="10">
                  <c:v>0.26495033439920174</c:v>
                </c:pt>
                <c:pt idx="11">
                  <c:v>0.33676258660633057</c:v>
                </c:pt>
                <c:pt idx="12">
                  <c:v>0.37463353629696128</c:v>
                </c:pt>
                <c:pt idx="13">
                  <c:v>0.39489880831702823</c:v>
                </c:pt>
                <c:pt idx="14">
                  <c:v>0.40111850164244789</c:v>
                </c:pt>
                <c:pt idx="15">
                  <c:v>0.40508938970958597</c:v>
                </c:pt>
                <c:pt idx="16">
                  <c:v>0.41534083640766506</c:v>
                </c:pt>
                <c:pt idx="17">
                  <c:v>0.41957361906181917</c:v>
                </c:pt>
                <c:pt idx="18">
                  <c:v>0.42633385823202347</c:v>
                </c:pt>
                <c:pt idx="19">
                  <c:v>0.43520347840717483</c:v>
                </c:pt>
                <c:pt idx="20">
                  <c:v>0.4428840337270008</c:v>
                </c:pt>
                <c:pt idx="21">
                  <c:v>0.44975478608435737</c:v>
                </c:pt>
                <c:pt idx="22">
                  <c:v>0.4549349925854726</c:v>
                </c:pt>
                <c:pt idx="23">
                  <c:v>0.45794226253353332</c:v>
                </c:pt>
                <c:pt idx="24">
                  <c:v>0.44524784207257517</c:v>
                </c:pt>
                <c:pt idx="25">
                  <c:v>0.41226285563955711</c:v>
                </c:pt>
                <c:pt idx="26">
                  <c:v>0.37668478184309928</c:v>
                </c:pt>
                <c:pt idx="27">
                  <c:v>0.34401130831456661</c:v>
                </c:pt>
                <c:pt idx="28">
                  <c:v>0.32206458619779421</c:v>
                </c:pt>
                <c:pt idx="29">
                  <c:v>0.30767131294541772</c:v>
                </c:pt>
                <c:pt idx="30">
                  <c:v>0.29078228314464855</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3.4854675690014054E-3</c:v>
                </c:pt>
                <c:pt idx="26">
                  <c:v>2.4845273107051563E-2</c:v>
                </c:pt>
                <c:pt idx="27">
                  <c:v>5.5789819841753505E-2</c:v>
                </c:pt>
                <c:pt idx="28">
                  <c:v>8.0035046772969312E-2</c:v>
                </c:pt>
                <c:pt idx="29">
                  <c:v>9.7717701239769333E-2</c:v>
                </c:pt>
                <c:pt idx="30">
                  <c:v>0.12189219004204893</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4.3283026630243995E-5</c:v>
                </c:pt>
                <c:pt idx="23">
                  <c:v>4.198308474158691E-3</c:v>
                </c:pt>
                <c:pt idx="24">
                  <c:v>3.3670060237510673E-2</c:v>
                </c:pt>
                <c:pt idx="25">
                  <c:v>0.10028166082143562</c:v>
                </c:pt>
                <c:pt idx="26">
                  <c:v>0.1517297331017432</c:v>
                </c:pt>
                <c:pt idx="27">
                  <c:v>0.18760514337961001</c:v>
                </c:pt>
                <c:pt idx="28">
                  <c:v>0.20835994365430482</c:v>
                </c:pt>
                <c:pt idx="29">
                  <c:v>0.22035543086097636</c:v>
                </c:pt>
                <c:pt idx="30">
                  <c:v>0.23017361833788019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0</c:v>
                </c:pt>
                <c:pt idx="3">
                  <c:v>0</c:v>
                </c:pt>
                <c:pt idx="4">
                  <c:v>0</c:v>
                </c:pt>
                <c:pt idx="5">
                  <c:v>0</c:v>
                </c:pt>
                <c:pt idx="6">
                  <c:v>3.0544984282628411E-2</c:v>
                </c:pt>
                <c:pt idx="7">
                  <c:v>7.230644557137314E-2</c:v>
                </c:pt>
                <c:pt idx="8">
                  <c:v>5.5552808080426098E-2</c:v>
                </c:pt>
                <c:pt idx="9">
                  <c:v>3.8785797336914674E-2</c:v>
                </c:pt>
                <c:pt idx="10">
                  <c:v>1.5047795316185802E-2</c:v>
                </c:pt>
                <c:pt idx="11">
                  <c:v>1.3027172105788427E-3</c:v>
                </c:pt>
                <c:pt idx="12">
                  <c:v>2.1980585871786296E-3</c:v>
                </c:pt>
                <c:pt idx="13">
                  <c:v>2.1285649607022546E-3</c:v>
                </c:pt>
                <c:pt idx="14">
                  <c:v>1.4386936428761161E-3</c:v>
                </c:pt>
                <c:pt idx="15">
                  <c:v>7.8442226726356729E-4</c:v>
                </c:pt>
                <c:pt idx="16">
                  <c:v>4.3536313961176284E-3</c:v>
                </c:pt>
                <c:pt idx="17">
                  <c:v>8.1532784959796514E-3</c:v>
                </c:pt>
                <c:pt idx="18">
                  <c:v>1.7195447018633694E-2</c:v>
                </c:pt>
                <c:pt idx="19">
                  <c:v>3.6613530825142307E-2</c:v>
                </c:pt>
                <c:pt idx="20">
                  <c:v>8.0199780236917595E-2</c:v>
                </c:pt>
                <c:pt idx="21">
                  <c:v>0.16653134646392365</c:v>
                </c:pt>
                <c:pt idx="22">
                  <c:v>0.2385369790827247</c:v>
                </c:pt>
                <c:pt idx="23">
                  <c:v>0.32598088639414158</c:v>
                </c:pt>
                <c:pt idx="24">
                  <c:v>0.40242805752840527</c:v>
                </c:pt>
                <c:pt idx="25">
                  <c:v>0.43490139432974384</c:v>
                </c:pt>
                <c:pt idx="26">
                  <c:v>0.43297577106996687</c:v>
                </c:pt>
                <c:pt idx="27">
                  <c:v>0.41669120648044822</c:v>
                </c:pt>
                <c:pt idx="28">
                  <c:v>0.4021693962066506</c:v>
                </c:pt>
                <c:pt idx="29">
                  <c:v>0.39046050040524416</c:v>
                </c:pt>
                <c:pt idx="30">
                  <c:v>0.364471186277046</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0</c:v>
                </c:pt>
                <c:pt idx="3">
                  <c:v>0</c:v>
                </c:pt>
                <c:pt idx="4">
                  <c:v>0</c:v>
                </c:pt>
                <c:pt idx="5">
                  <c:v>0</c:v>
                </c:pt>
                <c:pt idx="6">
                  <c:v>1.3612631368752537E-2</c:v>
                </c:pt>
                <c:pt idx="7">
                  <c:v>3.5368793177953002E-2</c:v>
                </c:pt>
                <c:pt idx="8">
                  <c:v>8.409838106034942E-2</c:v>
                </c:pt>
                <c:pt idx="9">
                  <c:v>0.20947857176609827</c:v>
                </c:pt>
                <c:pt idx="10">
                  <c:v>0.33729015520116001</c:v>
                </c:pt>
                <c:pt idx="11">
                  <c:v>0.41166256000851897</c:v>
                </c:pt>
                <c:pt idx="12">
                  <c:v>0.44530443378101664</c:v>
                </c:pt>
                <c:pt idx="13">
                  <c:v>0.46206296465886654</c:v>
                </c:pt>
                <c:pt idx="14">
                  <c:v>0.46795596224057173</c:v>
                </c:pt>
                <c:pt idx="15">
                  <c:v>0.47320437021517187</c:v>
                </c:pt>
                <c:pt idx="16">
                  <c:v>0.49252102390454927</c:v>
                </c:pt>
                <c:pt idx="17">
                  <c:v>0.50956803539381257</c:v>
                </c:pt>
                <c:pt idx="18">
                  <c:v>0.52261468288116075</c:v>
                </c:pt>
                <c:pt idx="19">
                  <c:v>0.54463783813606537</c:v>
                </c:pt>
                <c:pt idx="20">
                  <c:v>0.55183396438245058</c:v>
                </c:pt>
                <c:pt idx="21">
                  <c:v>0.54875664488661724</c:v>
                </c:pt>
                <c:pt idx="22">
                  <c:v>0.57253731066824454</c:v>
                </c:pt>
                <c:pt idx="23">
                  <c:v>0.56535256918206844</c:v>
                </c:pt>
                <c:pt idx="24">
                  <c:v>0.53801550660868391</c:v>
                </c:pt>
                <c:pt idx="25">
                  <c:v>0.5064506183456241</c:v>
                </c:pt>
                <c:pt idx="26">
                  <c:v>0.47036207936172691</c:v>
                </c:pt>
                <c:pt idx="27">
                  <c:v>0.43842279195083472</c:v>
                </c:pt>
                <c:pt idx="28">
                  <c:v>0.41525299197402687</c:v>
                </c:pt>
                <c:pt idx="29">
                  <c:v>0.39917126643951389</c:v>
                </c:pt>
                <c:pt idx="30">
                  <c:v>0.36841582108841292</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8.1664269648234171E-6</c:v>
                </c:pt>
                <c:pt idx="23">
                  <c:v>2.9086914855899775E-4</c:v>
                </c:pt>
                <c:pt idx="24">
                  <c:v>2.5000960090959031E-3</c:v>
                </c:pt>
                <c:pt idx="25">
                  <c:v>1.0652297777171874E-2</c:v>
                </c:pt>
                <c:pt idx="26">
                  <c:v>2.946222833898763E-2</c:v>
                </c:pt>
                <c:pt idx="27">
                  <c:v>5.8811278505042246E-2</c:v>
                </c:pt>
                <c:pt idx="28">
                  <c:v>8.4796516752828774E-2</c:v>
                </c:pt>
                <c:pt idx="29">
                  <c:v>0.10292046236675091</c:v>
                </c:pt>
                <c:pt idx="30">
                  <c:v>0.14538805840691676</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0</c:v>
                </c:pt>
                <c:pt idx="6">
                  <c:v>0</c:v>
                </c:pt>
                <c:pt idx="7">
                  <c:v>0</c:v>
                </c:pt>
                <c:pt idx="8">
                  <c:v>4.6402564046394686E-9</c:v>
                </c:pt>
                <c:pt idx="9">
                  <c:v>1.0369223073164987E-7</c:v>
                </c:pt>
                <c:pt idx="10">
                  <c:v>2.0789274883906938E-6</c:v>
                </c:pt>
                <c:pt idx="11">
                  <c:v>1.3365504231868371E-5</c:v>
                </c:pt>
                <c:pt idx="12">
                  <c:v>4.9714402119263111E-5</c:v>
                </c:pt>
                <c:pt idx="13">
                  <c:v>1.4226769232527535E-4</c:v>
                </c:pt>
                <c:pt idx="14">
                  <c:v>2.5904407233173733E-4</c:v>
                </c:pt>
                <c:pt idx="15">
                  <c:v>4.4283396392576083E-4</c:v>
                </c:pt>
                <c:pt idx="16">
                  <c:v>6.309857139287188E-4</c:v>
                </c:pt>
                <c:pt idx="17">
                  <c:v>8.0576911090386228E-4</c:v>
                </c:pt>
                <c:pt idx="18">
                  <c:v>1.0861261462861546E-3</c:v>
                </c:pt>
                <c:pt idx="19">
                  <c:v>1.5563908246600305E-3</c:v>
                </c:pt>
                <c:pt idx="20">
                  <c:v>2.2653374740651921E-3</c:v>
                </c:pt>
                <c:pt idx="21">
                  <c:v>3.9197831995994208E-3</c:v>
                </c:pt>
                <c:pt idx="22">
                  <c:v>7.3632826654021731E-3</c:v>
                </c:pt>
                <c:pt idx="23">
                  <c:v>1.3609437431274742E-2</c:v>
                </c:pt>
                <c:pt idx="24">
                  <c:v>2.4118422779901574E-2</c:v>
                </c:pt>
                <c:pt idx="25">
                  <c:v>4.3504585069636947E-2</c:v>
                </c:pt>
                <c:pt idx="26">
                  <c:v>6.6852173615901928E-2</c:v>
                </c:pt>
                <c:pt idx="27">
                  <c:v>8.5977845549577214E-2</c:v>
                </c:pt>
                <c:pt idx="28">
                  <c:v>9.7767211026502043E-2</c:v>
                </c:pt>
                <c:pt idx="29">
                  <c:v>0.10743905066380385</c:v>
                </c:pt>
                <c:pt idx="30">
                  <c:v>0.12172106430552873</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1.1164918816463212E-2</c:v>
                </c:pt>
                <c:pt idx="7">
                  <c:v>1.8818335051785713E-2</c:v>
                </c:pt>
                <c:pt idx="8">
                  <c:v>5.6244129150778657E-2</c:v>
                </c:pt>
                <c:pt idx="9">
                  <c:v>0.11715869734635662</c:v>
                </c:pt>
                <c:pt idx="10">
                  <c:v>0.1996724451067452</c:v>
                </c:pt>
                <c:pt idx="11">
                  <c:v>0.26339260939799591</c:v>
                </c:pt>
                <c:pt idx="12">
                  <c:v>0.30126766835214586</c:v>
                </c:pt>
                <c:pt idx="13">
                  <c:v>0.32078115647864847</c:v>
                </c:pt>
                <c:pt idx="14">
                  <c:v>0.33336675512807129</c:v>
                </c:pt>
                <c:pt idx="15">
                  <c:v>0.33611368223795857</c:v>
                </c:pt>
                <c:pt idx="16">
                  <c:v>0.34271759326914597</c:v>
                </c:pt>
                <c:pt idx="17">
                  <c:v>0.34771771687214709</c:v>
                </c:pt>
                <c:pt idx="18">
                  <c:v>0.34934595137323216</c:v>
                </c:pt>
                <c:pt idx="19">
                  <c:v>0.35391950337285438</c:v>
                </c:pt>
                <c:pt idx="20">
                  <c:v>0.35881834893587955</c:v>
                </c:pt>
                <c:pt idx="21">
                  <c:v>0.36782159923807861</c:v>
                </c:pt>
                <c:pt idx="22">
                  <c:v>0.36415991948085008</c:v>
                </c:pt>
                <c:pt idx="23">
                  <c:v>0.35335596210504783</c:v>
                </c:pt>
                <c:pt idx="24">
                  <c:v>0.33762545884820866</c:v>
                </c:pt>
                <c:pt idx="25">
                  <c:v>0.31811190686708535</c:v>
                </c:pt>
                <c:pt idx="26">
                  <c:v>0.29738413659453988</c:v>
                </c:pt>
                <c:pt idx="27">
                  <c:v>0.28248771317040278</c:v>
                </c:pt>
                <c:pt idx="28">
                  <c:v>0.26811457318181925</c:v>
                </c:pt>
                <c:pt idx="29">
                  <c:v>0.26165143965807558</c:v>
                </c:pt>
                <c:pt idx="30">
                  <c:v>0.25101138096769227</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6.6752240181776447E-3</c:v>
                </c:pt>
                <c:pt idx="7">
                  <c:v>1.2894513635749914E-2</c:v>
                </c:pt>
                <c:pt idx="8">
                  <c:v>3.8578139915205062E-2</c:v>
                </c:pt>
                <c:pt idx="9">
                  <c:v>8.3143439393413884E-2</c:v>
                </c:pt>
                <c:pt idx="10">
                  <c:v>0.14445834983165232</c:v>
                </c:pt>
                <c:pt idx="11">
                  <c:v>0.19860075597899096</c:v>
                </c:pt>
                <c:pt idx="12">
                  <c:v>0.22956335359276278</c:v>
                </c:pt>
                <c:pt idx="13">
                  <c:v>0.24644946980314947</c:v>
                </c:pt>
                <c:pt idx="14">
                  <c:v>0.25478528527946676</c:v>
                </c:pt>
                <c:pt idx="15">
                  <c:v>0.26071238681858533</c:v>
                </c:pt>
                <c:pt idx="16">
                  <c:v>0.27109341310735779</c:v>
                </c:pt>
                <c:pt idx="17">
                  <c:v>0.27608525709698689</c:v>
                </c:pt>
                <c:pt idx="18">
                  <c:v>0.28509454671587753</c:v>
                </c:pt>
                <c:pt idx="19">
                  <c:v>0.29469760604421158</c:v>
                </c:pt>
                <c:pt idx="20">
                  <c:v>0.30417674972647019</c:v>
                </c:pt>
                <c:pt idx="21">
                  <c:v>0.31681913143472323</c:v>
                </c:pt>
                <c:pt idx="22">
                  <c:v>0.32283311551428806</c:v>
                </c:pt>
                <c:pt idx="23">
                  <c:v>0.32182819895050951</c:v>
                </c:pt>
                <c:pt idx="24">
                  <c:v>0.31203375342560213</c:v>
                </c:pt>
                <c:pt idx="25">
                  <c:v>0.29567296351761779</c:v>
                </c:pt>
                <c:pt idx="26">
                  <c:v>0.27894654620133236</c:v>
                </c:pt>
                <c:pt idx="27">
                  <c:v>0.26493617342294107</c:v>
                </c:pt>
                <c:pt idx="28">
                  <c:v>0.25503872559522317</c:v>
                </c:pt>
                <c:pt idx="29">
                  <c:v>0.24907032893115336</c:v>
                </c:pt>
                <c:pt idx="30">
                  <c:v>0.24060751770115368</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1.5825332914211642E-3</c:v>
                </c:pt>
                <c:pt idx="25">
                  <c:v>1.5334645498104293E-2</c:v>
                </c:pt>
                <c:pt idx="26">
                  <c:v>3.5602659943309731E-2</c:v>
                </c:pt>
                <c:pt idx="27">
                  <c:v>5.5586292784081705E-2</c:v>
                </c:pt>
                <c:pt idx="28">
                  <c:v>6.9173385406955556E-2</c:v>
                </c:pt>
                <c:pt idx="29">
                  <c:v>7.8721908074815133E-2</c:v>
                </c:pt>
                <c:pt idx="30">
                  <c:v>9.0125775475468434E-2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4.2508829008436978E-5</c:v>
                </c:pt>
                <c:pt idx="20">
                  <c:v>6.0777740196749357E-4</c:v>
                </c:pt>
                <c:pt idx="21">
                  <c:v>4.7104312525552746E-3</c:v>
                </c:pt>
                <c:pt idx="22">
                  <c:v>2.1430490271477448E-2</c:v>
                </c:pt>
                <c:pt idx="23">
                  <c:v>5.0681095591539625E-2</c:v>
                </c:pt>
                <c:pt idx="24">
                  <c:v>8.9908228663989787E-2</c:v>
                </c:pt>
                <c:pt idx="25">
                  <c:v>0.12617679161061413</c:v>
                </c:pt>
                <c:pt idx="26">
                  <c:v>0.14955260582280447</c:v>
                </c:pt>
                <c:pt idx="27">
                  <c:v>0.16771141243583654</c:v>
                </c:pt>
                <c:pt idx="28">
                  <c:v>0.1786022175606462</c:v>
                </c:pt>
                <c:pt idx="29">
                  <c:v>0.18649117461451686</c:v>
                </c:pt>
                <c:pt idx="30">
                  <c:v>0.19726809160329281</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1.1679321073681449E-2</c:v>
                </c:pt>
                <c:pt idx="20">
                  <c:v>1.6715185496859478E-2</c:v>
                </c:pt>
                <c:pt idx="21">
                  <c:v>8.9390494545005902E-2</c:v>
                </c:pt>
                <c:pt idx="22">
                  <c:v>0.17214194156855706</c:v>
                </c:pt>
                <c:pt idx="23">
                  <c:v>0.25975702195390943</c:v>
                </c:pt>
                <c:pt idx="24">
                  <c:v>0.3136387332687694</c:v>
                </c:pt>
                <c:pt idx="25">
                  <c:v>0.33944060399864262</c:v>
                </c:pt>
                <c:pt idx="26">
                  <c:v>0.34683545712224034</c:v>
                </c:pt>
                <c:pt idx="27">
                  <c:v>0.35179531265020558</c:v>
                </c:pt>
                <c:pt idx="28">
                  <c:v>0.35237628371527963</c:v>
                </c:pt>
                <c:pt idx="29">
                  <c:v>0.35051056080095777</c:v>
                </c:pt>
                <c:pt idx="30">
                  <c:v>0.34847064469008099</c:v>
                </c:pt>
                <c:pt idx="31">
                  <c:v>0.34486712384807627</c:v>
                </c:pt>
                <c:pt idx="32">
                  <c:v>0.34180816627016408</c:v>
                </c:pt>
                <c:pt idx="33">
                  <c:v>0.33784588069369725</c:v>
                </c:pt>
                <c:pt idx="34">
                  <c:v>0.3353464601910926</c:v>
                </c:pt>
                <c:pt idx="35">
                  <c:v>0.33269945963957642</c:v>
                </c:pt>
                <c:pt idx="36">
                  <c:v>0.32924234369112443</c:v>
                </c:pt>
                <c:pt idx="37">
                  <c:v>0.31490057411638861</c:v>
                </c:pt>
                <c:pt idx="38">
                  <c:v>0.28714467634509516</c:v>
                </c:pt>
                <c:pt idx="39">
                  <c:v>0.26102840946317485</c:v>
                </c:pt>
                <c:pt idx="40">
                  <c:v>0.23832158526148184</c:v>
                </c:pt>
                <c:pt idx="41">
                  <c:v>0.22359894898450158</c:v>
                </c:pt>
                <c:pt idx="42">
                  <c:v>0.21457472256163007</c:v>
                </c:pt>
                <c:pt idx="43">
                  <c:v>0.20408505249267611</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8.1742610602947505E-3</c:v>
                </c:pt>
                <c:pt idx="20">
                  <c:v>1.7448258421833743E-2</c:v>
                </c:pt>
                <c:pt idx="21">
                  <c:v>6.1357660977925367E-2</c:v>
                </c:pt>
                <c:pt idx="22">
                  <c:v>0.12276871810952351</c:v>
                </c:pt>
                <c:pt idx="23">
                  <c:v>0.19526377381946175</c:v>
                </c:pt>
                <c:pt idx="24">
                  <c:v>0.24586501614134423</c:v>
                </c:pt>
                <c:pt idx="25">
                  <c:v>0.27223859233720171</c:v>
                </c:pt>
                <c:pt idx="26">
                  <c:v>0.28604668571125319</c:v>
                </c:pt>
                <c:pt idx="27">
                  <c:v>0.2900363457678708</c:v>
                </c:pt>
                <c:pt idx="28">
                  <c:v>0.29246564610472892</c:v>
                </c:pt>
                <c:pt idx="29">
                  <c:v>0.29871621380157753</c:v>
                </c:pt>
                <c:pt idx="30">
                  <c:v>0.30116858886727993</c:v>
                </c:pt>
                <c:pt idx="31">
                  <c:v>0.30484762753033279</c:v>
                </c:pt>
                <c:pt idx="32">
                  <c:v>0.30975006908826919</c:v>
                </c:pt>
                <c:pt idx="33">
                  <c:v>0.31390098420936846</c:v>
                </c:pt>
                <c:pt idx="34">
                  <c:v>0.31741962827586717</c:v>
                </c:pt>
                <c:pt idx="35">
                  <c:v>0.31971815428419575</c:v>
                </c:pt>
                <c:pt idx="36">
                  <c:v>0.31975530707519811</c:v>
                </c:pt>
                <c:pt idx="37">
                  <c:v>0.30741820916456913</c:v>
                </c:pt>
                <c:pt idx="38">
                  <c:v>0.28177206531217014</c:v>
                </c:pt>
                <c:pt idx="39">
                  <c:v>0.25665477879348808</c:v>
                </c:pt>
                <c:pt idx="40">
                  <c:v>0.23477813390015087</c:v>
                </c:pt>
                <c:pt idx="41">
                  <c:v>0.22074224256554217</c:v>
                </c:pt>
                <c:pt idx="42">
                  <c:v>0.21175010156931406</c:v>
                </c:pt>
                <c:pt idx="43">
                  <c:v>0.20147549302373</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2.518717989034597E-3</c:v>
                </c:pt>
                <c:pt idx="39">
                  <c:v>1.7407160624580444E-2</c:v>
                </c:pt>
                <c:pt idx="40">
                  <c:v>3.8059524708492574E-2</c:v>
                </c:pt>
                <c:pt idx="41">
                  <c:v>5.358376938749207E-2</c:v>
                </c:pt>
                <c:pt idx="42">
                  <c:v>6.4780100719706496E-2</c:v>
                </c:pt>
                <c:pt idx="43">
                  <c:v>7.9453884356787366E-2</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2.4742074779176811E-3</c:v>
                </c:pt>
                <c:pt idx="20">
                  <c:v>6.0075275960790086E-3</c:v>
                </c:pt>
                <c:pt idx="21">
                  <c:v>7.7461223110697587E-3</c:v>
                </c:pt>
                <c:pt idx="22">
                  <c:v>7.574652856214433E-3</c:v>
                </c:pt>
                <c:pt idx="23">
                  <c:v>4.5370126686357336E-3</c:v>
                </c:pt>
                <c:pt idx="24">
                  <c:v>6.4503357305858804E-4</c:v>
                </c:pt>
                <c:pt idx="25">
                  <c:v>1.0464937066894085E-3</c:v>
                </c:pt>
                <c:pt idx="26">
                  <c:v>1.0196237246489351E-3</c:v>
                </c:pt>
                <c:pt idx="27">
                  <c:v>7.0986651048257914E-4</c:v>
                </c:pt>
                <c:pt idx="28">
                  <c:v>4.0274152830406561E-4</c:v>
                </c:pt>
                <c:pt idx="29">
                  <c:v>1.8769856603841491E-3</c:v>
                </c:pt>
                <c:pt idx="30">
                  <c:v>3.0588216299609425E-3</c:v>
                </c:pt>
                <c:pt idx="31">
                  <c:v>5.346824514592596E-3</c:v>
                </c:pt>
                <c:pt idx="32">
                  <c:v>9.1732483615172833E-3</c:v>
                </c:pt>
                <c:pt idx="33">
                  <c:v>1.5171336725705982E-2</c:v>
                </c:pt>
                <c:pt idx="34">
                  <c:v>2.4333118498813911E-2</c:v>
                </c:pt>
                <c:pt idx="35">
                  <c:v>3.0806017379343593E-2</c:v>
                </c:pt>
                <c:pt idx="36">
                  <c:v>3.5565593431244144E-2</c:v>
                </c:pt>
                <c:pt idx="37">
                  <c:v>3.8234093529971654E-2</c:v>
                </c:pt>
                <c:pt idx="38">
                  <c:v>3.8185890897655173E-2</c:v>
                </c:pt>
                <c:pt idx="39">
                  <c:v>3.6426992873954914E-2</c:v>
                </c:pt>
                <c:pt idx="40">
                  <c:v>3.4059624588663066E-2</c:v>
                </c:pt>
                <c:pt idx="41">
                  <c:v>3.2217460994436148E-2</c:v>
                </c:pt>
                <c:pt idx="42">
                  <c:v>3.0959130987749158E-2</c:v>
                </c:pt>
                <c:pt idx="43">
                  <c:v>2.8956428987167319E-2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1.6522678933363014E-3</c:v>
                </c:pt>
                <c:pt idx="20">
                  <c:v>4.2271492941485392E-3</c:v>
                </c:pt>
                <c:pt idx="21">
                  <c:v>9.9137055573699905E-3</c:v>
                </c:pt>
                <c:pt idx="22">
                  <c:v>2.4367290850972615E-2</c:v>
                </c:pt>
                <c:pt idx="23">
                  <c:v>4.1381991253331342E-2</c:v>
                </c:pt>
                <c:pt idx="24">
                  <c:v>5.3779958801693457E-2</c:v>
                </c:pt>
                <c:pt idx="25">
                  <c:v>5.7942185389941503E-2</c:v>
                </c:pt>
                <c:pt idx="26">
                  <c:v>5.9856080208443949E-2</c:v>
                </c:pt>
                <c:pt idx="27">
                  <c:v>6.0807117488389024E-2</c:v>
                </c:pt>
                <c:pt idx="28">
                  <c:v>6.1497580206340309E-2</c:v>
                </c:pt>
                <c:pt idx="29">
                  <c:v>6.167687963824043E-2</c:v>
                </c:pt>
                <c:pt idx="30">
                  <c:v>6.2080532825925759E-2</c:v>
                </c:pt>
                <c:pt idx="31">
                  <c:v>6.0943092966482676E-2</c:v>
                </c:pt>
                <c:pt idx="32">
                  <c:v>5.9845542509952603E-2</c:v>
                </c:pt>
                <c:pt idx="33">
                  <c:v>5.6553033981768003E-2</c:v>
                </c:pt>
                <c:pt idx="34">
                  <c:v>5.1393803687343718E-2</c:v>
                </c:pt>
                <c:pt idx="35">
                  <c:v>4.8772244890917478E-2</c:v>
                </c:pt>
                <c:pt idx="36">
                  <c:v>4.6492470909010049E-2</c:v>
                </c:pt>
                <c:pt idx="37">
                  <c:v>4.3985149250392493E-2</c:v>
                </c:pt>
                <c:pt idx="38">
                  <c:v>4.1071310168300484E-2</c:v>
                </c:pt>
                <c:pt idx="39">
                  <c:v>3.787525943580123E-2</c:v>
                </c:pt>
                <c:pt idx="40">
                  <c:v>3.4900986657068207E-2</c:v>
                </c:pt>
                <c:pt idx="41">
                  <c:v>3.2728021246722416E-2</c:v>
                </c:pt>
                <c:pt idx="42">
                  <c:v>3.1299775624559573E-2</c:v>
                </c:pt>
                <c:pt idx="43">
                  <c:v>2.9110075155675361E-2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1.9211753933623941E-6</c:v>
                </c:pt>
                <c:pt idx="36">
                  <c:v>6.731541569366634E-5</c:v>
                </c:pt>
                <c:pt idx="37">
                  <c:v>5.3256721841074041E-4</c:v>
                </c:pt>
                <c:pt idx="38">
                  <c:v>1.9763984214015017E-3</c:v>
                </c:pt>
                <c:pt idx="39">
                  <c:v>4.4695841279178364E-3</c:v>
                </c:pt>
                <c:pt idx="40">
                  <c:v>7.7840618790258956E-3</c:v>
                </c:pt>
                <c:pt idx="41">
                  <c:v>1.0548701882090592E-2</c:v>
                </c:pt>
                <c:pt idx="42">
                  <c:v>1.2295477418368381E-2</c:v>
                </c:pt>
                <c:pt idx="43">
                  <c:v>1.5302658473364169E-2</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8.967840728757831E-2</c:v>
                </c:pt>
                <c:pt idx="16">
                  <c:v>8.967840728757831E-2</c:v>
                </c:pt>
                <c:pt idx="17">
                  <c:v>8.967840728757831E-2</c:v>
                </c:pt>
                <c:pt idx="18">
                  <c:v>8.967840728757831E-2</c:v>
                </c:pt>
                <c:pt idx="19">
                  <c:v>8.5551931916324334E-2</c:v>
                </c:pt>
                <c:pt idx="20">
                  <c:v>7.9443730397350767E-2</c:v>
                </c:pt>
                <c:pt idx="21">
                  <c:v>7.2018575984585276E-2</c:v>
                </c:pt>
                <c:pt idx="22">
                  <c:v>5.7736388867818692E-2</c:v>
                </c:pt>
                <c:pt idx="23">
                  <c:v>4.3758097322910056E-2</c:v>
                </c:pt>
                <c:pt idx="24">
                  <c:v>3.5245800793278874E-2</c:v>
                </c:pt>
                <c:pt idx="25">
                  <c:v>3.066295411677716E-2</c:v>
                </c:pt>
                <c:pt idx="26">
                  <c:v>2.8729086765625071E-2</c:v>
                </c:pt>
                <c:pt idx="27">
                  <c:v>2.8030786419484262E-2</c:v>
                </c:pt>
                <c:pt idx="28">
                  <c:v>2.7559445090939459E-2</c:v>
                </c:pt>
                <c:pt idx="29">
                  <c:v>2.5824996306711694E-2</c:v>
                </c:pt>
                <c:pt idx="30">
                  <c:v>2.4167683605303331E-2</c:v>
                </c:pt>
                <c:pt idx="31">
                  <c:v>2.2910131813151182E-2</c:v>
                </c:pt>
                <c:pt idx="32">
                  <c:v>2.0012649940421609E-2</c:v>
                </c:pt>
                <c:pt idx="33">
                  <c:v>1.7068329466224538E-2</c:v>
                </c:pt>
                <c:pt idx="34">
                  <c:v>1.2569627569927974E-2</c:v>
                </c:pt>
                <c:pt idx="35">
                  <c:v>7.8122946990619177E-3</c:v>
                </c:pt>
                <c:pt idx="36">
                  <c:v>3.873858608237636E-3</c:v>
                </c:pt>
                <c:pt idx="37">
                  <c:v>1.3409449894158866E-3</c:v>
                </c:pt>
                <c:pt idx="38">
                  <c:v>2.0588984108196206E-4</c:v>
                </c:pt>
                <c:pt idx="39">
                  <c:v>3.1185452109287474E-5</c:v>
                </c:pt>
                <c:pt idx="40">
                  <c:v>8.6878211662819281E-6</c:v>
                </c:pt>
                <c:pt idx="41">
                  <c:v>1.2450985932022247E-6</c:v>
                </c:pt>
                <c:pt idx="42">
                  <c:v>7.820068933091718E-7</c:v>
                </c:pt>
                <c:pt idx="43">
                  <c:v>3.470484498664487E-7</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0.66842924773992651</c:v>
                </c:pt>
                <c:pt idx="15">
                  <c:v>0.66842924773992651</c:v>
                </c:pt>
                <c:pt idx="16">
                  <c:v>0.66842924773992651</c:v>
                </c:pt>
                <c:pt idx="17">
                  <c:v>0.66842924773992651</c:v>
                </c:pt>
                <c:pt idx="18">
                  <c:v>0.66842924773992651</c:v>
                </c:pt>
                <c:pt idx="19">
                  <c:v>0.64857566560595026</c:v>
                </c:pt>
                <c:pt idx="20">
                  <c:v>0.63426580382123332</c:v>
                </c:pt>
                <c:pt idx="21">
                  <c:v>0.51768109221699532</c:v>
                </c:pt>
                <c:pt idx="22">
                  <c:v>0.37351858806184596</c:v>
                </c:pt>
                <c:pt idx="23">
                  <c:v>0.21340845196655531</c:v>
                </c:pt>
                <c:pt idx="24">
                  <c:v>0.10892549832981288</c:v>
                </c:pt>
                <c:pt idx="25">
                  <c:v>5.6750051404082159E-2</c:v>
                </c:pt>
                <c:pt idx="26">
                  <c:v>3.5547104906432994E-2</c:v>
                </c:pt>
                <c:pt idx="27">
                  <c:v>2.6597589321850107E-2</c:v>
                </c:pt>
                <c:pt idx="28">
                  <c:v>2.3587317919917996E-2</c:v>
                </c:pt>
                <c:pt idx="29">
                  <c:v>1.9202473137391245E-2</c:v>
                </c:pt>
                <c:pt idx="30">
                  <c:v>1.8790014182565595E-2</c:v>
                </c:pt>
                <c:pt idx="31">
                  <c:v>1.8714496361517501E-2</c:v>
                </c:pt>
                <c:pt idx="32">
                  <c:v>1.6871012381493244E-2</c:v>
                </c:pt>
                <c:pt idx="33">
                  <c:v>1.6682382836860819E-2</c:v>
                </c:pt>
                <c:pt idx="34">
                  <c:v>1.5663159272966722E-2</c:v>
                </c:pt>
                <c:pt idx="35">
                  <c:v>1.5955342066962891E-2</c:v>
                </c:pt>
                <c:pt idx="36">
                  <c:v>1.454995727712447E-2</c:v>
                </c:pt>
                <c:pt idx="37">
                  <c:v>1.5032439316280547E-2</c:v>
                </c:pt>
                <c:pt idx="38">
                  <c:v>1.5116324379807458E-2</c:v>
                </c:pt>
                <c:pt idx="39">
                  <c:v>1.5474852769052298E-2</c:v>
                </c:pt>
                <c:pt idx="40">
                  <c:v>1.5739593400000574E-2</c:v>
                </c:pt>
                <c:pt idx="41">
                  <c:v>1.5921954498708181E-2</c:v>
                </c:pt>
                <c:pt idx="42">
                  <c:v>1.5523878581738841E-2</c:v>
                </c:pt>
                <c:pt idx="43">
                  <c:v>1.5724885059719151E-2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5.6291749191468168E-5</c:v>
                </c:pt>
                <c:pt idx="36">
                  <c:v>4.8816396964795217E-3</c:v>
                </c:pt>
                <c:pt idx="37">
                  <c:v>3.1078025142688263E-2</c:v>
                </c:pt>
                <c:pt idx="38">
                  <c:v>8.1877463713819154E-2</c:v>
                </c:pt>
                <c:pt idx="39">
                  <c:v>0.11786404608963082</c:v>
                </c:pt>
                <c:pt idx="40">
                  <c:v>0.14153041046980067</c:v>
                </c:pt>
                <c:pt idx="41">
                  <c:v>0.15458233230368251</c:v>
                </c:pt>
                <c:pt idx="42">
                  <c:v>0.16180044430753704</c:v>
                </c:pt>
                <c:pt idx="43">
                  <c:v>0.16768993280701391</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3.4345532808182988E-9</c:v>
                </c:pt>
                <c:pt idx="22">
                  <c:v>7.4712572570379054E-8</c:v>
                </c:pt>
                <c:pt idx="23">
                  <c:v>1.3060427011761632E-6</c:v>
                </c:pt>
                <c:pt idx="24">
                  <c:v>7.6141195473914558E-6</c:v>
                </c:pt>
                <c:pt idx="25">
                  <c:v>2.6774074170236503E-5</c:v>
                </c:pt>
                <c:pt idx="26">
                  <c:v>7.3616588860347048E-5</c:v>
                </c:pt>
                <c:pt idx="27">
                  <c:v>1.3063686922244026E-4</c:v>
                </c:pt>
                <c:pt idx="28">
                  <c:v>2.1864046199446884E-4</c:v>
                </c:pt>
                <c:pt idx="29">
                  <c:v>2.9954568224203643E-4</c:v>
                </c:pt>
                <c:pt idx="30">
                  <c:v>3.7136922638827545E-4</c:v>
                </c:pt>
                <c:pt idx="31">
                  <c:v>4.783579933518481E-4</c:v>
                </c:pt>
                <c:pt idx="32">
                  <c:v>6.4696647568681927E-4</c:v>
                </c:pt>
                <c:pt idx="33">
                  <c:v>8.8570711387979167E-4</c:v>
                </c:pt>
                <c:pt idx="34">
                  <c:v>1.3818575314927118E-3</c:v>
                </c:pt>
                <c:pt idx="35">
                  <c:v>2.2859291428619548E-3</c:v>
                </c:pt>
                <c:pt idx="36">
                  <c:v>3.6791689233928106E-3</c:v>
                </c:pt>
                <c:pt idx="37">
                  <c:v>5.5856522993875416E-3</c:v>
                </c:pt>
                <c:pt idx="38">
                  <c:v>8.2389179591391866E-3</c:v>
                </c:pt>
                <c:pt idx="39">
                  <c:v>1.0875385397795045E-2</c:v>
                </c:pt>
                <c:pt idx="40">
                  <c:v>1.2925046341654863E-2</c:v>
                </c:pt>
                <c:pt idx="41">
                  <c:v>1.418297806573594E-2</c:v>
                </c:pt>
                <c:pt idx="42">
                  <c:v>1.5123241250007888E-2</c:v>
                </c:pt>
                <c:pt idx="43">
                  <c:v>1.6308897622921589E-2</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0.23038147668861172</c:v>
                </c:pt>
                <c:pt idx="15">
                  <c:v>0.23038147668861172</c:v>
                </c:pt>
                <c:pt idx="16">
                  <c:v>0.23038147668861172</c:v>
                </c:pt>
                <c:pt idx="17">
                  <c:v>0.23038147668861172</c:v>
                </c:pt>
                <c:pt idx="18">
                  <c:v>0.23038147668861172</c:v>
                </c:pt>
                <c:pt idx="19">
                  <c:v>0.23082868055479655</c:v>
                </c:pt>
                <c:pt idx="20">
                  <c:v>0.23142692517956681</c:v>
                </c:pt>
                <c:pt idx="21">
                  <c:v>0.2328306384542809</c:v>
                </c:pt>
                <c:pt idx="22">
                  <c:v>0.2346893981911341</c:v>
                </c:pt>
                <c:pt idx="23">
                  <c:v>0.23756491502281782</c:v>
                </c:pt>
                <c:pt idx="24">
                  <c:v>0.2415830294334835</c:v>
                </c:pt>
                <c:pt idx="25">
                  <c:v>0.26697764949056385</c:v>
                </c:pt>
                <c:pt idx="26">
                  <c:v>0.25371405474820741</c:v>
                </c:pt>
                <c:pt idx="27">
                  <c:v>0.27595336977440976</c:v>
                </c:pt>
                <c:pt idx="28">
                  <c:v>0.28481583443003217</c:v>
                </c:pt>
                <c:pt idx="29">
                  <c:v>0.31540740427858627</c:v>
                </c:pt>
                <c:pt idx="30">
                  <c:v>0.31837575354535252</c:v>
                </c:pt>
                <c:pt idx="31">
                  <c:v>0.3180945533640831</c:v>
                </c:pt>
                <c:pt idx="32">
                  <c:v>0.2802829095344006</c:v>
                </c:pt>
                <c:pt idx="33">
                  <c:v>0.28478323958543633</c:v>
                </c:pt>
                <c:pt idx="34">
                  <c:v>0.28618246689669008</c:v>
                </c:pt>
                <c:pt idx="35">
                  <c:v>0.28086842040238763</c:v>
                </c:pt>
                <c:pt idx="36">
                  <c:v>0.31386121143768825</c:v>
                </c:pt>
                <c:pt idx="37">
                  <c:v>0.31112222038239407</c:v>
                </c:pt>
                <c:pt idx="38">
                  <c:v>0.29241734697075061</c:v>
                </c:pt>
                <c:pt idx="39">
                  <c:v>0.2909468162598553</c:v>
                </c:pt>
                <c:pt idx="40">
                  <c:v>0.28990396146521041</c:v>
                </c:pt>
                <c:pt idx="41">
                  <c:v>0.28920275710698629</c:v>
                </c:pt>
                <c:pt idx="42">
                  <c:v>0.29838985841915322</c:v>
                </c:pt>
                <c:pt idx="43">
                  <c:v>0.29749985798249762</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0.61452169476443286</c:v>
                </c:pt>
                <c:pt idx="15">
                  <c:v>0.61452169476443286</c:v>
                </c:pt>
                <c:pt idx="16">
                  <c:v>0.61452169476443286</c:v>
                </c:pt>
                <c:pt idx="17">
                  <c:v>0.61452169476443286</c:v>
                </c:pt>
                <c:pt idx="18">
                  <c:v>0.61452169476443286</c:v>
                </c:pt>
                <c:pt idx="19">
                  <c:v>0.61422337171384767</c:v>
                </c:pt>
                <c:pt idx="20">
                  <c:v>0.61361224749541354</c:v>
                </c:pt>
                <c:pt idx="21">
                  <c:v>0.61260163452859384</c:v>
                </c:pt>
                <c:pt idx="22">
                  <c:v>0.61101156486564612</c:v>
                </c:pt>
                <c:pt idx="23">
                  <c:v>0.60605304624447054</c:v>
                </c:pt>
                <c:pt idx="24">
                  <c:v>0.60292409822671256</c:v>
                </c:pt>
                <c:pt idx="25">
                  <c:v>0.59384218638266939</c:v>
                </c:pt>
                <c:pt idx="26">
                  <c:v>0.59885100551080028</c:v>
                </c:pt>
                <c:pt idx="27">
                  <c:v>0.6048671706494283</c:v>
                </c:pt>
                <c:pt idx="28">
                  <c:v>0.59682154422720868</c:v>
                </c:pt>
                <c:pt idx="29">
                  <c:v>0.5918356045801455</c:v>
                </c:pt>
                <c:pt idx="30">
                  <c:v>0.60037299280971235</c:v>
                </c:pt>
                <c:pt idx="31">
                  <c:v>0.59746487435290085</c:v>
                </c:pt>
                <c:pt idx="32">
                  <c:v>0.59857872274722745</c:v>
                </c:pt>
                <c:pt idx="33">
                  <c:v>0.60126636575343662</c:v>
                </c:pt>
                <c:pt idx="34">
                  <c:v>0.59634950906549666</c:v>
                </c:pt>
                <c:pt idx="35">
                  <c:v>0.58812271203162536</c:v>
                </c:pt>
                <c:pt idx="36">
                  <c:v>0.59250389107548573</c:v>
                </c:pt>
                <c:pt idx="37">
                  <c:v>0.58743768825670428</c:v>
                </c:pt>
                <c:pt idx="38">
                  <c:v>0.59754979208554926</c:v>
                </c:pt>
                <c:pt idx="39">
                  <c:v>0.59225928320478682</c:v>
                </c:pt>
                <c:pt idx="40">
                  <c:v>0.59314452749792157</c:v>
                </c:pt>
                <c:pt idx="41">
                  <c:v>0.59210926769652428</c:v>
                </c:pt>
                <c:pt idx="42">
                  <c:v>0.57827063731423101</c:v>
                </c:pt>
                <c:pt idx="43">
                  <c:v>0.59009456881930278</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0.39932829612730575</c:v>
                </c:pt>
                <c:pt idx="16">
                  <c:v>0.39932829612730575</c:v>
                </c:pt>
                <c:pt idx="17">
                  <c:v>0.39932829612730575</c:v>
                </c:pt>
                <c:pt idx="18">
                  <c:v>0.39932829612730575</c:v>
                </c:pt>
                <c:pt idx="19">
                  <c:v>0.3993192679352805</c:v>
                </c:pt>
                <c:pt idx="20">
                  <c:v>0.39928682386489672</c:v>
                </c:pt>
                <c:pt idx="21">
                  <c:v>0.39897080445046545</c:v>
                </c:pt>
                <c:pt idx="22">
                  <c:v>0.39886907083349449</c:v>
                </c:pt>
                <c:pt idx="23">
                  <c:v>0.39319627275821756</c:v>
                </c:pt>
                <c:pt idx="24">
                  <c:v>0.39810023677291956</c:v>
                </c:pt>
                <c:pt idx="25">
                  <c:v>0.39464593797588321</c:v>
                </c:pt>
                <c:pt idx="26">
                  <c:v>0.39400518227565867</c:v>
                </c:pt>
                <c:pt idx="27">
                  <c:v>0.3938100667860005</c:v>
                </c:pt>
                <c:pt idx="28">
                  <c:v>0.39675425147621962</c:v>
                </c:pt>
                <c:pt idx="29">
                  <c:v>0.39568231624223982</c:v>
                </c:pt>
                <c:pt idx="30">
                  <c:v>0.39489334926274039</c:v>
                </c:pt>
                <c:pt idx="31">
                  <c:v>0.3857905471812681</c:v>
                </c:pt>
                <c:pt idx="32">
                  <c:v>0.39669657333352754</c:v>
                </c:pt>
                <c:pt idx="33">
                  <c:v>0.38136884030789375</c:v>
                </c:pt>
                <c:pt idx="34">
                  <c:v>0.38836942269995833</c:v>
                </c:pt>
                <c:pt idx="35">
                  <c:v>0.39014472360891073</c:v>
                </c:pt>
                <c:pt idx="36">
                  <c:v>0.36049116226846756</c:v>
                </c:pt>
                <c:pt idx="37">
                  <c:v>0.33236730573987228</c:v>
                </c:pt>
                <c:pt idx="38">
                  <c:v>0.23285841898213533</c:v>
                </c:pt>
                <c:pt idx="39">
                  <c:v>0.39932829612749898</c:v>
                </c:pt>
                <c:pt idx="40">
                  <c:v>0.39932829612797377</c:v>
                </c:pt>
                <c:pt idx="41">
                  <c:v>0.39932829613344728</c:v>
                </c:pt>
                <c:pt idx="42">
                  <c:v>0.39932829613621107</c:v>
                </c:pt>
                <c:pt idx="43">
                  <c:v>0.39932829615802679</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c:v>
                </c:pt>
                <c:pt idx="6">
                  <c:v>1</c:v>
                </c:pt>
                <c:pt idx="7">
                  <c:v>1</c:v>
                </c:pt>
                <c:pt idx="8">
                  <c:v>1</c:v>
                </c:pt>
                <c:pt idx="9">
                  <c:v>1</c:v>
                </c:pt>
                <c:pt idx="10">
                  <c:v>1.0013853200028549</c:v>
                </c:pt>
                <c:pt idx="11">
                  <c:v>1.0026727972807621</c:v>
                </c:pt>
                <c:pt idx="12">
                  <c:v>1.0152484000394497</c:v>
                </c:pt>
                <c:pt idx="13">
                  <c:v>1.0348369319236246</c:v>
                </c:pt>
                <c:pt idx="14">
                  <c:v>1.0670904073538447</c:v>
                </c:pt>
                <c:pt idx="15">
                  <c:v>1.0957629873737234</c:v>
                </c:pt>
                <c:pt idx="16">
                  <c:v>1.1134932930841295</c:v>
                </c:pt>
                <c:pt idx="17">
                  <c:v>1.1242945149930534</c:v>
                </c:pt>
                <c:pt idx="18">
                  <c:v>1.1278646877466736</c:v>
                </c:pt>
                <c:pt idx="19">
                  <c:v>1.130356764104715</c:v>
                </c:pt>
                <c:pt idx="20">
                  <c:v>1.1422794344865914</c:v>
                </c:pt>
                <c:pt idx="21">
                  <c:v>1.1485573849721269</c:v>
                </c:pt>
                <c:pt idx="22">
                  <c:v>1.1599091812421116</c:v>
                </c:pt>
                <c:pt idx="23">
                  <c:v>1.178004026512965</c:v>
                </c:pt>
                <c:pt idx="24">
                  <c:v>1.2034608325228535</c:v>
                </c:pt>
                <c:pt idx="25">
                  <c:v>1.2369624259764747</c:v>
                </c:pt>
                <c:pt idx="26">
                  <c:v>1.2760857820359914</c:v>
                </c:pt>
                <c:pt idx="27">
                  <c:v>1.3203787444128305</c:v>
                </c:pt>
                <c:pt idx="28">
                  <c:v>1.3704602779182606</c:v>
                </c:pt>
                <c:pt idx="29">
                  <c:v>1.430334282101563</c:v>
                </c:pt>
                <c:pt idx="30">
                  <c:v>1.4910048845140575</c:v>
                </c:pt>
                <c:pt idx="31">
                  <c:v>1.5471998462565155</c:v>
                </c:pt>
                <c:pt idx="32">
                  <c:v>1.5871482688156882</c:v>
                </c:pt>
                <c:pt idx="33">
                  <c:v>1.6150947214700979</c:v>
                </c:pt>
                <c:pt idx="34">
                  <c:v>1.6526960960498254</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c:v>
                </c:pt>
                <c:pt idx="6">
                  <c:v>1</c:v>
                </c:pt>
                <c:pt idx="7">
                  <c:v>1</c:v>
                </c:pt>
                <c:pt idx="8">
                  <c:v>1</c:v>
                </c:pt>
                <c:pt idx="9">
                  <c:v>1</c:v>
                </c:pt>
                <c:pt idx="10">
                  <c:v>1.0037517199859154</c:v>
                </c:pt>
                <c:pt idx="11">
                  <c:v>1.007212654931152</c:v>
                </c:pt>
                <c:pt idx="12">
                  <c:v>1.0244548937388807</c:v>
                </c:pt>
                <c:pt idx="13">
                  <c:v>1.0575281598939943</c:v>
                </c:pt>
                <c:pt idx="14">
                  <c:v>1.1136939358368383</c:v>
                </c:pt>
                <c:pt idx="15">
                  <c:v>1.1750671034798683</c:v>
                </c:pt>
                <c:pt idx="16">
                  <c:v>1.219791955825356</c:v>
                </c:pt>
                <c:pt idx="17">
                  <c:v>1.2455868194370829</c:v>
                </c:pt>
                <c:pt idx="18">
                  <c:v>1.2604446723991198</c:v>
                </c:pt>
                <c:pt idx="19">
                  <c:v>1.2697493383235607</c:v>
                </c:pt>
                <c:pt idx="20">
                  <c:v>1.2866002265678114</c:v>
                </c:pt>
                <c:pt idx="21">
                  <c:v>1.297045601035034</c:v>
                </c:pt>
                <c:pt idx="22">
                  <c:v>1.3123440850420889</c:v>
                </c:pt>
                <c:pt idx="23">
                  <c:v>1.3335213423724936</c:v>
                </c:pt>
                <c:pt idx="24">
                  <c:v>1.3623629558004384</c:v>
                </c:pt>
                <c:pt idx="25">
                  <c:v>1.4070167811700154</c:v>
                </c:pt>
                <c:pt idx="26">
                  <c:v>1.4619042386478436</c:v>
                </c:pt>
                <c:pt idx="27">
                  <c:v>1.5254018205237456</c:v>
                </c:pt>
                <c:pt idx="28">
                  <c:v>1.5917986019734507</c:v>
                </c:pt>
                <c:pt idx="29">
                  <c:v>1.660336068453206</c:v>
                </c:pt>
                <c:pt idx="30">
                  <c:v>1.7143005849288291</c:v>
                </c:pt>
                <c:pt idx="31">
                  <c:v>1.7589871537428032</c:v>
                </c:pt>
                <c:pt idx="32">
                  <c:v>1.7840784350143228</c:v>
                </c:pt>
                <c:pt idx="33">
                  <c:v>1.805272577639266</c:v>
                </c:pt>
                <c:pt idx="34">
                  <c:v>1.8321486521993513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c:v>
                </c:pt>
                <c:pt idx="7">
                  <c:v>1</c:v>
                </c:pt>
                <c:pt idx="8">
                  <c:v>1</c:v>
                </c:pt>
                <c:pt idx="9">
                  <c:v>1</c:v>
                </c:pt>
                <c:pt idx="10">
                  <c:v>1.0068309645364413</c:v>
                </c:pt>
                <c:pt idx="11">
                  <c:v>1.0177983909682324</c:v>
                </c:pt>
                <c:pt idx="12">
                  <c:v>1.0442625458693113</c:v>
                </c:pt>
                <c:pt idx="13">
                  <c:v>1.1086055449276444</c:v>
                </c:pt>
                <c:pt idx="14">
                  <c:v>1.1941928536578528</c:v>
                </c:pt>
                <c:pt idx="15">
                  <c:v>1.2619097293859112</c:v>
                </c:pt>
                <c:pt idx="16">
                  <c:v>1.2916587632903072</c:v>
                </c:pt>
                <c:pt idx="17">
                  <c:v>1.3056162489468099</c:v>
                </c:pt>
                <c:pt idx="18">
                  <c:v>1.3120966820110973</c:v>
                </c:pt>
                <c:pt idx="19">
                  <c:v>1.3169854503830996</c:v>
                </c:pt>
                <c:pt idx="20">
                  <c:v>1.3270750161042277</c:v>
                </c:pt>
                <c:pt idx="21">
                  <c:v>1.3358823541604188</c:v>
                </c:pt>
                <c:pt idx="22">
                  <c:v>1.3375575296999787</c:v>
                </c:pt>
                <c:pt idx="23">
                  <c:v>1.3454737639921284</c:v>
                </c:pt>
                <c:pt idx="24">
                  <c:v>1.345357115111421</c:v>
                </c:pt>
                <c:pt idx="25">
                  <c:v>1.34436588661596</c:v>
                </c:pt>
                <c:pt idx="26">
                  <c:v>1.3750174566791256</c:v>
                </c:pt>
                <c:pt idx="27">
                  <c:v>1.4220923011816842</c:v>
                </c:pt>
                <c:pt idx="28">
                  <c:v>1.481600298721456</c:v>
                </c:pt>
                <c:pt idx="29">
                  <c:v>1.5604654289078002</c:v>
                </c:pt>
                <c:pt idx="30">
                  <c:v>1.6498835174129656</c:v>
                </c:pt>
                <c:pt idx="31">
                  <c:v>1.7456146757392021</c:v>
                </c:pt>
                <c:pt idx="32">
                  <c:v>1.8230955666390969</c:v>
                </c:pt>
                <c:pt idx="33">
                  <c:v>1.8772531569179316</c:v>
                </c:pt>
                <c:pt idx="34">
                  <c:v>1.9711287745146691</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6.4864337636120455</c:v>
                </c:pt>
                <c:pt idx="1">
                  <c:v>6.3480818446503209</c:v>
                </c:pt>
                <c:pt idx="2">
                  <c:v>6.4291000607445872</c:v>
                </c:pt>
                <c:pt idx="3">
                  <c:v>6.5254599640226782</c:v>
                </c:pt>
                <c:pt idx="4">
                  <c:v>6.6581303524586462</c:v>
                </c:pt>
                <c:pt idx="5">
                  <c:v>6.8086034138932883</c:v>
                </c:pt>
                <c:pt idx="6">
                  <c:v>6.9782165360518364</c:v>
                </c:pt>
                <c:pt idx="7">
                  <c:v>7.1454647701784486</c:v>
                </c:pt>
                <c:pt idx="8">
                  <c:v>7.2213425095119215</c:v>
                </c:pt>
                <c:pt idx="9">
                  <c:v>7.2751615022591807</c:v>
                </c:pt>
                <c:pt idx="10">
                  <c:v>7.3069231945163011</c:v>
                </c:pt>
                <c:pt idx="11">
                  <c:v>7.3125555989863509</c:v>
                </c:pt>
                <c:pt idx="12">
                  <c:v>7.3181923450895674</c:v>
                </c:pt>
                <c:pt idx="13">
                  <c:v>7.3238334361726238</c:v>
                </c:pt>
                <c:pt idx="14">
                  <c:v>7.3294788755847629</c:v>
                </c:pt>
                <c:pt idx="15">
                  <c:v>7.3351272149996589</c:v>
                </c:pt>
                <c:pt idx="16">
                  <c:v>7.3355433916329646</c:v>
                </c:pt>
                <c:pt idx="17">
                  <c:v>7.3359595682662686</c:v>
                </c:pt>
                <c:pt idx="18">
                  <c:v>7.3363757448995743</c:v>
                </c:pt>
                <c:pt idx="19">
                  <c:v>7.3367919215328783</c:v>
                </c:pt>
                <c:pt idx="20">
                  <c:v>7.3372080981661831</c:v>
                </c:pt>
                <c:pt idx="21">
                  <c:v>7.337624274799488</c:v>
                </c:pt>
                <c:pt idx="22">
                  <c:v>7.3380404514327928</c:v>
                </c:pt>
                <c:pt idx="23">
                  <c:v>7.3384566280660994</c:v>
                </c:pt>
                <c:pt idx="24">
                  <c:v>7.3388728046994043</c:v>
                </c:pt>
                <c:pt idx="25">
                  <c:v>7.3392889813327082</c:v>
                </c:pt>
                <c:pt idx="26">
                  <c:v>7.3397051579660149</c:v>
                </c:pt>
                <c:pt idx="27">
                  <c:v>7.3401213345993215</c:v>
                </c:pt>
                <c:pt idx="28">
                  <c:v>7.3405375112326254</c:v>
                </c:pt>
                <c:pt idx="29">
                  <c:v>7.3409536878659303</c:v>
                </c:pt>
                <c:pt idx="30">
                  <c:v>7.341369864499236</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0</c:v>
                </c:pt>
                <c:pt idx="2">
                  <c:v>0</c:v>
                </c:pt>
                <c:pt idx="3">
                  <c:v>0</c:v>
                </c:pt>
                <c:pt idx="4">
                  <c:v>0</c:v>
                </c:pt>
                <c:pt idx="5">
                  <c:v>0</c:v>
                </c:pt>
                <c:pt idx="6">
                  <c:v>7.9565414156980401</c:v>
                </c:pt>
                <c:pt idx="7">
                  <c:v>8.1393169728046217</c:v>
                </c:pt>
                <c:pt idx="8">
                  <c:v>8.47415891925362</c:v>
                </c:pt>
                <c:pt idx="9">
                  <c:v>8.7258948351065779</c:v>
                </c:pt>
                <c:pt idx="10">
                  <c:v>9.0394781249975775</c:v>
                </c:pt>
                <c:pt idx="11">
                  <c:v>9.3358883447329433</c:v>
                </c:pt>
                <c:pt idx="12">
                  <c:v>9.5513354178208179</c:v>
                </c:pt>
                <c:pt idx="13">
                  <c:v>9.6798654708953897</c:v>
                </c:pt>
                <c:pt idx="14">
                  <c:v>9.7477049421836028</c:v>
                </c:pt>
                <c:pt idx="15">
                  <c:v>9.8112798247637976</c:v>
                </c:pt>
                <c:pt idx="16">
                  <c:v>9.9013871684490748</c:v>
                </c:pt>
                <c:pt idx="17">
                  <c:v>9.9563293808173317</c:v>
                </c:pt>
                <c:pt idx="18">
                  <c:v>10.041454040059637</c:v>
                </c:pt>
                <c:pt idx="19">
                  <c:v>10.16866670333463</c:v>
                </c:pt>
                <c:pt idx="20">
                  <c:v>10.348879377678212</c:v>
                </c:pt>
                <c:pt idx="21">
                  <c:v>10.585744487419539</c:v>
                </c:pt>
                <c:pt idx="22">
                  <c:v>10.868188538969189</c:v>
                </c:pt>
                <c:pt idx="23">
                  <c:v>11.168377476922283</c:v>
                </c:pt>
                <c:pt idx="24">
                  <c:v>11.450821528471934</c:v>
                </c:pt>
                <c:pt idx="25">
                  <c:v>11.687686638213263</c:v>
                </c:pt>
                <c:pt idx="26">
                  <c:v>11.867899312556846</c:v>
                </c:pt>
                <c:pt idx="27">
                  <c:v>11.995111975831838</c:v>
                </c:pt>
                <c:pt idx="28">
                  <c:v>12.080236635074145</c:v>
                </c:pt>
                <c:pt idx="29">
                  <c:v>12.135178847442406</c:v>
                </c:pt>
                <c:pt idx="30">
                  <c:v>12.22528619112768</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HEV</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0</c:v>
                </c:pt>
                <c:pt idx="2">
                  <c:v>0</c:v>
                </c:pt>
                <c:pt idx="3">
                  <c:v>0</c:v>
                </c:pt>
                <c:pt idx="4">
                  <c:v>0</c:v>
                </c:pt>
                <c:pt idx="5">
                  <c:v>0</c:v>
                </c:pt>
                <c:pt idx="6">
                  <c:v>8.4441142287088482</c:v>
                </c:pt>
                <c:pt idx="7">
                  <c:v>8.6420691281866731</c:v>
                </c:pt>
                <c:pt idx="8">
                  <c:v>9.0208301307657983</c:v>
                </c:pt>
                <c:pt idx="9">
                  <c:v>9.3055846213091851</c:v>
                </c:pt>
                <c:pt idx="10">
                  <c:v>9.6602986066111036</c:v>
                </c:pt>
                <c:pt idx="11">
                  <c:v>9.9955870410270293</c:v>
                </c:pt>
                <c:pt idx="12">
                  <c:v>10.239292915607265</c:v>
                </c:pt>
                <c:pt idx="13">
                  <c:v>10.384681425859187</c:v>
                </c:pt>
                <c:pt idx="14">
                  <c:v>10.461418962574813</c:v>
                </c:pt>
                <c:pt idx="15">
                  <c:v>10.533332552016905</c:v>
                </c:pt>
                <c:pt idx="16">
                  <c:v>10.6819243189875</c:v>
                </c:pt>
                <c:pt idx="17">
                  <c:v>10.772526927866835</c:v>
                </c:pt>
                <c:pt idx="18">
                  <c:v>10.912901985129238</c:v>
                </c:pt>
                <c:pt idx="19">
                  <c:v>11.12268238308536</c:v>
                </c:pt>
                <c:pt idx="20">
                  <c:v>11.419862597438796</c:v>
                </c:pt>
                <c:pt idx="21">
                  <c:v>11.810465668738725</c:v>
                </c:pt>
                <c:pt idx="22">
                  <c:v>12.276230821429088</c:v>
                </c:pt>
                <c:pt idx="23">
                  <c:v>12.771258228643234</c:v>
                </c:pt>
                <c:pt idx="24">
                  <c:v>13.237023381333593</c:v>
                </c:pt>
                <c:pt idx="25">
                  <c:v>13.627626452633526</c:v>
                </c:pt>
                <c:pt idx="26">
                  <c:v>13.924806666986962</c:v>
                </c:pt>
                <c:pt idx="27">
                  <c:v>14.134587064943084</c:v>
                </c:pt>
                <c:pt idx="28">
                  <c:v>14.274962122205491</c:v>
                </c:pt>
                <c:pt idx="29">
                  <c:v>14.365564731084824</c:v>
                </c:pt>
                <c:pt idx="30">
                  <c:v>14.514156498055417</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BEV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23.818222888793748</c:v>
                </c:pt>
                <c:pt idx="25">
                  <c:v>24.516534071675217</c:v>
                </c:pt>
                <c:pt idx="26">
                  <c:v>25.047826020618352</c:v>
                </c:pt>
                <c:pt idx="27">
                  <c:v>25.422866588923547</c:v>
                </c:pt>
                <c:pt idx="28">
                  <c:v>25.673825886191064</c:v>
                </c:pt>
                <c:pt idx="29">
                  <c:v>25.83580314553037</c:v>
                </c:pt>
                <c:pt idx="30">
                  <c:v>26.10145208734323</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FCEV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12.995014250790609</c:v>
                </c:pt>
                <c:pt idx="20">
                  <c:v>13.384139573345184</c:v>
                </c:pt>
                <c:pt idx="21">
                  <c:v>13.895592014555239</c:v>
                </c:pt>
                <c:pt idx="22">
                  <c:v>14.505461065459716</c:v>
                </c:pt>
                <c:pt idx="23">
                  <c:v>15.15364587118324</c:v>
                </c:pt>
                <c:pt idx="24">
                  <c:v>15.763514922087719</c:v>
                </c:pt>
                <c:pt idx="25">
                  <c:v>16.274967363297776</c:v>
                </c:pt>
                <c:pt idx="26">
                  <c:v>16.664092685852353</c:v>
                </c:pt>
                <c:pt idx="27">
                  <c:v>16.938777409389228</c:v>
                </c:pt>
                <c:pt idx="28">
                  <c:v>17.12258335203818</c:v>
                </c:pt>
                <c:pt idx="29">
                  <c:v>17.241217661126228</c:v>
                </c:pt>
                <c:pt idx="30">
                  <c:v>17.435782495723927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0</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0"/>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4.1849074389263427E-2"/>
          <c:y val="0.11695861759313536"/>
          <c:w val="0.92495420363598058"/>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ax val="2050"/>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0-FCFC-4E7F-A6E9-7DE0EB811A40}"/>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image" Target="../media/image1.png"/><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400050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85725</xdr:colOff>
          <xdr:row>8</xdr:row>
          <xdr:rowOff>0</xdr:rowOff>
        </xdr:from>
        <xdr:to>
          <xdr:col>18</xdr:col>
          <xdr:colOff>438150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247650</xdr:colOff>
          <xdr:row>8</xdr:row>
          <xdr:rowOff>123825</xdr:rowOff>
        </xdr:from>
        <xdr:to>
          <xdr:col>19</xdr:col>
          <xdr:colOff>476250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28575</xdr:colOff>
          <xdr:row>11</xdr:row>
          <xdr:rowOff>0</xdr:rowOff>
        </xdr:from>
        <xdr:to>
          <xdr:col>18</xdr:col>
          <xdr:colOff>381000</xdr:colOff>
          <xdr:row>13</xdr:row>
          <xdr:rowOff>28575</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179917</xdr:colOff>
      <xdr:row>24</xdr:row>
      <xdr:rowOff>127007</xdr:rowOff>
    </xdr:from>
    <xdr:to>
      <xdr:col>19</xdr:col>
      <xdr:colOff>190500</xdr:colOff>
      <xdr:row>42</xdr:row>
      <xdr:rowOff>12707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95249</xdr:colOff>
      <xdr:row>23</xdr:row>
      <xdr:rowOff>127000</xdr:rowOff>
    </xdr:from>
    <xdr:to>
      <xdr:col>40</xdr:col>
      <xdr:colOff>370416</xdr:colOff>
      <xdr:row>41</xdr:row>
      <xdr:rowOff>12700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167925</xdr:colOff>
      <xdr:row>9</xdr:row>
      <xdr:rowOff>114774</xdr:rowOff>
    </xdr:from>
    <xdr:to>
      <xdr:col>6</xdr:col>
      <xdr:colOff>634762</xdr:colOff>
      <xdr:row>23</xdr:row>
      <xdr:rowOff>189405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443977</xdr:colOff>
      <xdr:row>8</xdr:row>
      <xdr:rowOff>64434</xdr:rowOff>
    </xdr:from>
    <xdr:to>
      <xdr:col>21</xdr:col>
      <xdr:colOff>768948</xdr:colOff>
      <xdr:row>25</xdr:row>
      <xdr:rowOff>140634</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14</xdr:row>
      <xdr:rowOff>53340</xdr:rowOff>
    </xdr:from>
    <xdr:to>
      <xdr:col>9</xdr:col>
      <xdr:colOff>247650</xdr:colOff>
      <xdr:row>30</xdr:row>
      <xdr:rowOff>144780</xdr:rowOff>
    </xdr:to>
    <xdr:graphicFrame macro="">
      <xdr:nvGraphicFramePr>
        <xdr:cNvPr id="5" name="Chart 4">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458993</xdr:colOff>
      <xdr:row>25</xdr:row>
      <xdr:rowOff>154866</xdr:rowOff>
    </xdr:from>
    <xdr:to>
      <xdr:col>21</xdr:col>
      <xdr:colOff>783964</xdr:colOff>
      <xdr:row>43</xdr:row>
      <xdr:rowOff>74184</xdr:rowOff>
    </xdr:to>
    <xdr:graphicFrame macro="">
      <xdr:nvGraphicFramePr>
        <xdr:cNvPr id="4" name="Chart 3">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31</xdr:row>
      <xdr:rowOff>160020</xdr:rowOff>
    </xdr:from>
    <xdr:to>
      <xdr:col>9</xdr:col>
      <xdr:colOff>121920</xdr:colOff>
      <xdr:row>47</xdr:row>
      <xdr:rowOff>99060</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3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3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3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104775</xdr:colOff>
      <xdr:row>7</xdr:row>
      <xdr:rowOff>114300</xdr:rowOff>
    </xdr:from>
    <xdr:to>
      <xdr:col>12</xdr:col>
      <xdr:colOff>266700</xdr:colOff>
      <xdr:row>21</xdr:row>
      <xdr:rowOff>104775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08" dataDxfId="107" headerRowCellStyle="Comma">
  <autoFilter ref="P7:Z66" xr:uid="{00000000-0009-0000-0100-000001000000}"/>
  <tableColumns count="11">
    <tableColumn id="1" xr3:uid="{00000000-0010-0000-0000-000001000000}" name="Year" dataDxfId="106" dataCellStyle="Comma"/>
    <tableColumn id="2" xr3:uid="{00000000-0010-0000-0000-000002000000}" name="Electricity" dataDxfId="105"/>
    <tableColumn id="3" xr3:uid="{00000000-0010-0000-0000-000003000000}" name="Propane" dataDxfId="104"/>
    <tableColumn id="4" xr3:uid="{00000000-0010-0000-0000-000004000000}" name="Methanol (M85)" dataDxfId="103"/>
    <tableColumn id="5" xr3:uid="{00000000-0010-0000-0000-000005000000}" name="LNG" dataDxfId="102"/>
    <tableColumn id="6" xr3:uid="{00000000-0010-0000-0000-000006000000}" name="Hydrogen" dataDxfId="101">
      <calculatedColumnFormula>1.1*U7</calculatedColumnFormula>
    </tableColumn>
    <tableColumn id="7" xr3:uid="{00000000-0010-0000-0000-000007000000}" name="Biodiesel**" dataDxfId="100"/>
    <tableColumn id="8" xr3:uid="{00000000-0010-0000-0000-000008000000}" name="CNG" dataDxfId="99"/>
    <tableColumn id="9" xr3:uid="{00000000-0010-0000-0000-000009000000}" name="E85" dataDxfId="98"/>
    <tableColumn id="10" xr3:uid="{00000000-0010-0000-0000-00000A000000}" name="Gasoline" dataDxfId="97" dataCellStyle="Comma"/>
    <tableColumn id="11" xr3:uid="{3BCCA5A2-A156-413D-888C-AD65F0F4A02F}" name="Column1" dataDxfId="96">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defaultRowHeight="12.75" x14ac:dyDescent="0.2"/>
  <cols>
    <col min="1" max="1" width="9.140625" style="1339"/>
    <col min="2" max="2" width="10.140625" style="1339" bestFit="1" customWidth="1"/>
    <col min="3" max="3" width="15.28515625" style="1339" bestFit="1" customWidth="1"/>
    <col min="4" max="4" width="72.7109375" style="1341" customWidth="1"/>
    <col min="5" max="16384" width="9.140625" style="1339"/>
  </cols>
  <sheetData>
    <row r="2" spans="2:4" x14ac:dyDescent="0.2">
      <c r="B2" s="1337" t="s">
        <v>385</v>
      </c>
    </row>
    <row r="4" spans="2:4" x14ac:dyDescent="0.2">
      <c r="B4" s="1337" t="s">
        <v>376</v>
      </c>
      <c r="C4" s="1337" t="s">
        <v>377</v>
      </c>
      <c r="D4" s="1338" t="s">
        <v>378</v>
      </c>
    </row>
    <row r="5" spans="2:4" x14ac:dyDescent="0.2">
      <c r="B5" s="1340">
        <v>43763</v>
      </c>
      <c r="C5" s="1337" t="s">
        <v>379</v>
      </c>
      <c r="D5" s="1338" t="s">
        <v>406</v>
      </c>
    </row>
    <row r="6" spans="2:4" x14ac:dyDescent="0.2">
      <c r="B6" s="1340">
        <v>43763</v>
      </c>
      <c r="C6" s="1337" t="s">
        <v>380</v>
      </c>
      <c r="D6" s="1338" t="s">
        <v>381</v>
      </c>
    </row>
    <row r="7" spans="2:4" ht="38.25" x14ac:dyDescent="0.2">
      <c r="B7" s="1340">
        <v>43763</v>
      </c>
      <c r="C7" s="1337" t="s">
        <v>382</v>
      </c>
      <c r="D7" s="1338" t="s">
        <v>383</v>
      </c>
    </row>
    <row r="8" spans="2:4" ht="38.25" x14ac:dyDescent="0.2">
      <c r="B8" s="1340">
        <v>43763</v>
      </c>
      <c r="C8" s="1337" t="s">
        <v>372</v>
      </c>
      <c r="D8" s="1338" t="s">
        <v>383</v>
      </c>
    </row>
    <row r="9" spans="2:4" ht="38.25" x14ac:dyDescent="0.2">
      <c r="B9" s="1340">
        <v>43763</v>
      </c>
      <c r="C9" s="1337" t="s">
        <v>384</v>
      </c>
      <c r="D9" s="1338" t="s">
        <v>383</v>
      </c>
    </row>
    <row r="10" spans="2:4" ht="38.25" x14ac:dyDescent="0.2">
      <c r="B10" s="1340">
        <v>43763</v>
      </c>
      <c r="C10" s="1337" t="s">
        <v>386</v>
      </c>
      <c r="D10" s="1338" t="s">
        <v>387</v>
      </c>
    </row>
    <row r="11" spans="2:4" ht="25.5" x14ac:dyDescent="0.2">
      <c r="B11" s="1340">
        <v>43763</v>
      </c>
      <c r="C11" s="1337" t="s">
        <v>382</v>
      </c>
      <c r="D11" s="1338" t="s">
        <v>388</v>
      </c>
    </row>
    <row r="12" spans="2:4" ht="25.5" x14ac:dyDescent="0.2">
      <c r="B12" s="1340">
        <v>43763</v>
      </c>
      <c r="C12" s="1337" t="s">
        <v>372</v>
      </c>
      <c r="D12" s="1338" t="s">
        <v>388</v>
      </c>
    </row>
    <row r="13" spans="2:4" ht="25.5" x14ac:dyDescent="0.2">
      <c r="B13" s="1340">
        <v>43763</v>
      </c>
      <c r="C13" s="1337" t="s">
        <v>384</v>
      </c>
      <c r="D13" s="1338" t="s">
        <v>388</v>
      </c>
    </row>
    <row r="14" spans="2:4" ht="38.25" x14ac:dyDescent="0.2">
      <c r="B14" s="1340">
        <v>43763</v>
      </c>
      <c r="C14" s="1337" t="s">
        <v>379</v>
      </c>
      <c r="D14" s="1338" t="s">
        <v>389</v>
      </c>
    </row>
    <row r="15" spans="2:4" ht="25.5" x14ac:dyDescent="0.2">
      <c r="B15" s="1340">
        <v>43768</v>
      </c>
      <c r="C15" s="1337" t="s">
        <v>397</v>
      </c>
      <c r="D15" s="1338" t="s">
        <v>400</v>
      </c>
    </row>
    <row r="16" spans="2:4" x14ac:dyDescent="0.2">
      <c r="B16" s="1337" t="s">
        <v>399</v>
      </c>
      <c r="C16" s="1337" t="s">
        <v>401</v>
      </c>
      <c r="D16" s="1338" t="s">
        <v>402</v>
      </c>
    </row>
    <row r="17" spans="2:4" x14ac:dyDescent="0.2">
      <c r="B17" s="1340">
        <v>43770</v>
      </c>
      <c r="C17" s="1337" t="s">
        <v>401</v>
      </c>
      <c r="D17" s="1338" t="s">
        <v>403</v>
      </c>
    </row>
    <row r="18" spans="2:4" ht="25.5" x14ac:dyDescent="0.2">
      <c r="B18" s="1493">
        <v>43770</v>
      </c>
      <c r="C18" s="1337" t="s">
        <v>404</v>
      </c>
      <c r="D18" s="1338" t="s">
        <v>405</v>
      </c>
    </row>
    <row r="19" spans="2:4" x14ac:dyDescent="0.2">
      <c r="B19" s="1340">
        <v>43775</v>
      </c>
      <c r="C19" s="1337" t="s">
        <v>397</v>
      </c>
      <c r="D19" s="1338" t="s">
        <v>408</v>
      </c>
    </row>
    <row r="20" spans="2:4" ht="25.5" x14ac:dyDescent="0.2">
      <c r="B20" s="1340">
        <v>43775</v>
      </c>
      <c r="C20" s="1337" t="s">
        <v>404</v>
      </c>
      <c r="D20" s="1338" t="s">
        <v>409</v>
      </c>
    </row>
    <row r="21" spans="2:4" ht="25.5" x14ac:dyDescent="0.2">
      <c r="B21" s="1340">
        <v>43775</v>
      </c>
      <c r="C21" s="1337" t="s">
        <v>386</v>
      </c>
      <c r="D21" s="1338" t="s">
        <v>410</v>
      </c>
    </row>
    <row r="22" spans="2:4" ht="51" x14ac:dyDescent="0.2">
      <c r="B22" s="1340">
        <v>43775</v>
      </c>
      <c r="C22" s="1337" t="s">
        <v>404</v>
      </c>
      <c r="D22" s="1338" t="s">
        <v>411</v>
      </c>
    </row>
    <row r="23" spans="2:4" x14ac:dyDescent="0.2">
      <c r="B23" s="1340">
        <v>43775</v>
      </c>
      <c r="C23" s="1337" t="s">
        <v>414</v>
      </c>
      <c r="D23" s="1338" t="s">
        <v>413</v>
      </c>
    </row>
    <row r="24" spans="2:4" ht="25.5" x14ac:dyDescent="0.2">
      <c r="B24" s="1340">
        <v>44019</v>
      </c>
      <c r="C24" s="1337" t="s">
        <v>401</v>
      </c>
      <c r="D24" s="1338" t="s">
        <v>444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defaultColWidth="9.140625" defaultRowHeight="12.75" x14ac:dyDescent="0.2"/>
  <cols>
    <col min="1" max="1" width="3" style="353" customWidth="1"/>
    <col min="2" max="2" width="120" style="367" customWidth="1"/>
    <col min="3" max="16384" width="9.140625" style="353"/>
  </cols>
  <sheetData>
    <row r="1" spans="1:3" ht="15.75" x14ac:dyDescent="0.25">
      <c r="A1" s="1505" t="s">
        <v>435</v>
      </c>
      <c r="B1" s="1505"/>
    </row>
    <row r="2" spans="1:3" x14ac:dyDescent="0.2">
      <c r="A2" s="1506" t="s">
        <v>369</v>
      </c>
      <c r="B2" s="1507"/>
    </row>
    <row r="3" spans="1:3" x14ac:dyDescent="0.2">
      <c r="A3" s="354"/>
      <c r="B3" s="355"/>
    </row>
    <row r="4" spans="1:3" ht="15" x14ac:dyDescent="0.25">
      <c r="A4" s="356" t="s">
        <v>130</v>
      </c>
      <c r="B4" s="357"/>
    </row>
    <row r="5" spans="1:3" ht="38.25" x14ac:dyDescent="0.2">
      <c r="A5" s="358">
        <v>1</v>
      </c>
      <c r="B5" s="1313" t="s">
        <v>437</v>
      </c>
      <c r="C5" s="376"/>
    </row>
    <row r="6" spans="1:3" x14ac:dyDescent="0.2">
      <c r="A6" s="359">
        <v>2</v>
      </c>
      <c r="B6" s="1314" t="s">
        <v>438</v>
      </c>
    </row>
    <row r="7" spans="1:3" x14ac:dyDescent="0.2">
      <c r="A7" s="359">
        <v>3</v>
      </c>
      <c r="B7" s="1315" t="s">
        <v>131</v>
      </c>
    </row>
    <row r="8" spans="1:3" ht="25.5" x14ac:dyDescent="0.2">
      <c r="A8" s="361"/>
      <c r="B8" s="1314" t="s">
        <v>132</v>
      </c>
    </row>
    <row r="9" spans="1:3" ht="38.25" x14ac:dyDescent="0.2">
      <c r="A9" s="363">
        <v>4</v>
      </c>
      <c r="B9" s="1316" t="s">
        <v>170</v>
      </c>
    </row>
    <row r="10" spans="1:3" x14ac:dyDescent="0.2">
      <c r="A10" s="363">
        <v>5</v>
      </c>
      <c r="B10" s="1316" t="s">
        <v>134</v>
      </c>
    </row>
    <row r="11" spans="1:3" ht="25.5" x14ac:dyDescent="0.2">
      <c r="A11" s="363">
        <v>6</v>
      </c>
      <c r="B11" s="1316" t="s">
        <v>171</v>
      </c>
    </row>
    <row r="12" spans="1:3" ht="25.5" x14ac:dyDescent="0.2">
      <c r="A12" s="363">
        <v>7</v>
      </c>
      <c r="B12" s="1316" t="s">
        <v>148</v>
      </c>
    </row>
    <row r="13" spans="1:3" ht="25.5" x14ac:dyDescent="0.2">
      <c r="A13" s="360">
        <v>8</v>
      </c>
      <c r="B13" s="1317" t="s">
        <v>439</v>
      </c>
    </row>
    <row r="14" spans="1:3" ht="16.5" customHeight="1" x14ac:dyDescent="0.2">
      <c r="A14" s="360"/>
      <c r="B14" s="1317" t="s">
        <v>440</v>
      </c>
    </row>
    <row r="15" spans="1:3" x14ac:dyDescent="0.2">
      <c r="A15" s="360"/>
      <c r="B15" s="1317" t="s">
        <v>442</v>
      </c>
    </row>
    <row r="16" spans="1:3" x14ac:dyDescent="0.2">
      <c r="A16" s="360"/>
      <c r="B16" s="1317" t="s">
        <v>443</v>
      </c>
    </row>
    <row r="17" spans="1:3" x14ac:dyDescent="0.2">
      <c r="A17" s="360"/>
      <c r="B17" s="1317"/>
    </row>
    <row r="18" spans="1:3" x14ac:dyDescent="0.2">
      <c r="A18" s="366"/>
      <c r="B18" s="1318" t="s">
        <v>441</v>
      </c>
    </row>
    <row r="20" spans="1:3" ht="15" x14ac:dyDescent="0.25">
      <c r="A20" s="356" t="s">
        <v>133</v>
      </c>
      <c r="B20" s="357"/>
    </row>
    <row r="21" spans="1:3" ht="18.75" customHeight="1" x14ac:dyDescent="0.2">
      <c r="A21" s="368">
        <v>1</v>
      </c>
      <c r="B21" s="369" t="s">
        <v>135</v>
      </c>
    </row>
    <row r="22" spans="1:3" x14ac:dyDescent="0.2">
      <c r="A22" s="370"/>
      <c r="B22" s="371" t="s">
        <v>145</v>
      </c>
    </row>
    <row r="23" spans="1:3" ht="18.75" customHeight="1" x14ac:dyDescent="0.2">
      <c r="A23" s="368">
        <v>2</v>
      </c>
      <c r="B23" s="369" t="s">
        <v>146</v>
      </c>
      <c r="C23" s="376"/>
    </row>
    <row r="24" spans="1:3" x14ac:dyDescent="0.2">
      <c r="A24" s="372"/>
      <c r="B24" s="407" t="s">
        <v>147</v>
      </c>
    </row>
    <row r="25" spans="1:3" x14ac:dyDescent="0.2">
      <c r="A25" s="372"/>
      <c r="B25" s="406" t="s">
        <v>139</v>
      </c>
    </row>
    <row r="26" spans="1:3" ht="25.5" x14ac:dyDescent="0.2">
      <c r="A26" s="370"/>
      <c r="B26" s="456" t="s">
        <v>140</v>
      </c>
    </row>
    <row r="27" spans="1:3" ht="18.75" customHeight="1" x14ac:dyDescent="0.2">
      <c r="A27" s="368">
        <v>3</v>
      </c>
      <c r="B27" s="369" t="s">
        <v>141</v>
      </c>
    </row>
    <row r="28" spans="1:3" x14ac:dyDescent="0.2">
      <c r="A28" s="372"/>
      <c r="B28" s="365" t="s">
        <v>366</v>
      </c>
    </row>
    <row r="29" spans="1:3" x14ac:dyDescent="0.2">
      <c r="A29" s="372"/>
      <c r="B29" s="406"/>
    </row>
    <row r="30" spans="1:3" x14ac:dyDescent="0.2">
      <c r="A30" s="372"/>
      <c r="B30" s="406" t="s">
        <v>149</v>
      </c>
    </row>
    <row r="31" spans="1:3" x14ac:dyDescent="0.2">
      <c r="A31" s="372"/>
      <c r="B31" s="409" t="s">
        <v>367</v>
      </c>
    </row>
    <row r="32" spans="1:3" x14ac:dyDescent="0.2">
      <c r="A32" s="370"/>
      <c r="B32" s="373"/>
    </row>
    <row r="33" spans="1:2" ht="18.75" customHeight="1" x14ac:dyDescent="0.2">
      <c r="A33" s="368">
        <v>4</v>
      </c>
      <c r="B33" s="369" t="s">
        <v>142</v>
      </c>
    </row>
    <row r="34" spans="1:2" x14ac:dyDescent="0.2">
      <c r="A34" s="372"/>
      <c r="B34" s="364" t="s">
        <v>436</v>
      </c>
    </row>
    <row r="35" spans="1:2" x14ac:dyDescent="0.2">
      <c r="A35" s="372"/>
      <c r="B35" s="364" t="s">
        <v>368</v>
      </c>
    </row>
    <row r="36" spans="1:2" x14ac:dyDescent="0.2">
      <c r="A36" s="372"/>
      <c r="B36" s="362"/>
    </row>
    <row r="37" spans="1:2" x14ac:dyDescent="0.2">
      <c r="A37" s="372"/>
      <c r="B37" s="364"/>
    </row>
    <row r="38" spans="1:2" x14ac:dyDescent="0.2">
      <c r="A38" s="372"/>
      <c r="B38" s="362"/>
    </row>
    <row r="39" spans="1:2" x14ac:dyDescent="0.2">
      <c r="A39" s="370"/>
      <c r="B39" s="374"/>
    </row>
    <row r="40" spans="1:2" ht="18.75" customHeight="1" x14ac:dyDescent="0.2">
      <c r="A40" s="368">
        <v>5</v>
      </c>
      <c r="B40" s="369" t="s">
        <v>143</v>
      </c>
    </row>
    <row r="41" spans="1:2" x14ac:dyDescent="0.2">
      <c r="A41" s="372"/>
      <c r="B41" s="375" t="s">
        <v>144</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B4" sqref="B4"/>
    </sheetView>
  </sheetViews>
  <sheetFormatPr defaultColWidth="9.140625" defaultRowHeight="12.75" x14ac:dyDescent="0.2"/>
  <cols>
    <col min="1" max="1" width="3" style="916" customWidth="1"/>
    <col min="2" max="2" width="20.28515625" style="912" customWidth="1"/>
    <col min="3" max="3" width="15.28515625" style="912" customWidth="1"/>
    <col min="4" max="4" width="18.42578125" style="912" customWidth="1"/>
    <col min="5" max="5" width="14.85546875" style="912" customWidth="1"/>
    <col min="6" max="16384" width="9.140625" style="912"/>
  </cols>
  <sheetData>
    <row r="1" spans="1:7" x14ac:dyDescent="0.2">
      <c r="A1" s="475"/>
      <c r="B1" s="476"/>
      <c r="C1" s="476"/>
      <c r="D1" s="476"/>
      <c r="E1" s="477"/>
    </row>
    <row r="2" spans="1:7" s="921" customFormat="1" ht="15" x14ac:dyDescent="0.25">
      <c r="A2" s="917">
        <v>1</v>
      </c>
      <c r="B2" s="918" t="s">
        <v>115</v>
      </c>
      <c r="C2" s="918"/>
      <c r="D2" s="919"/>
      <c r="E2" s="920"/>
    </row>
    <row r="3" spans="1:7" x14ac:dyDescent="0.2">
      <c r="A3" s="479"/>
      <c r="B3" s="1508" t="s">
        <v>452</v>
      </c>
      <c r="C3" s="1509"/>
      <c r="D3" s="1510"/>
      <c r="E3" s="480"/>
      <c r="F3" s="913"/>
    </row>
    <row r="4" spans="1:7" x14ac:dyDescent="0.2">
      <c r="A4" s="479"/>
      <c r="B4" s="474"/>
      <c r="C4" s="474"/>
      <c r="D4" s="474"/>
      <c r="E4" s="478"/>
    </row>
    <row r="5" spans="1:7" s="921" customFormat="1" ht="15" x14ac:dyDescent="0.25">
      <c r="A5" s="917">
        <v>2</v>
      </c>
      <c r="B5" s="918" t="s">
        <v>114</v>
      </c>
      <c r="C5" s="918"/>
      <c r="D5" s="919"/>
      <c r="E5" s="920"/>
    </row>
    <row r="6" spans="1:7" x14ac:dyDescent="0.2">
      <c r="A6" s="479"/>
      <c r="B6" s="481" t="s">
        <v>53</v>
      </c>
      <c r="C6" s="910">
        <v>7.4999999999999997E-2</v>
      </c>
      <c r="D6" s="474"/>
      <c r="E6" s="478"/>
    </row>
    <row r="7" spans="1:7" x14ac:dyDescent="0.2">
      <c r="A7" s="479"/>
      <c r="B7" s="481" t="s">
        <v>54</v>
      </c>
      <c r="C7" s="911" t="s">
        <v>111</v>
      </c>
      <c r="D7" s="474"/>
      <c r="E7" s="478"/>
    </row>
    <row r="8" spans="1:7" x14ac:dyDescent="0.2">
      <c r="A8" s="479"/>
      <c r="B8" s="482"/>
      <c r="C8" s="482"/>
      <c r="D8" s="482"/>
      <c r="E8" s="483"/>
    </row>
    <row r="9" spans="1:7" s="921" customFormat="1" ht="15" x14ac:dyDescent="0.25">
      <c r="A9" s="917">
        <v>3</v>
      </c>
      <c r="B9" s="922" t="s">
        <v>201</v>
      </c>
      <c r="C9" s="922"/>
      <c r="D9" s="919"/>
      <c r="E9" s="920"/>
    </row>
    <row r="10" spans="1:7" x14ac:dyDescent="0.2">
      <c r="A10" s="479"/>
      <c r="B10" s="474"/>
      <c r="C10" s="474"/>
      <c r="D10" s="474"/>
      <c r="E10" s="478"/>
    </row>
    <row r="11" spans="1:7" x14ac:dyDescent="0.2">
      <c r="A11" s="479"/>
      <c r="B11" s="474"/>
      <c r="C11" s="474"/>
      <c r="D11" s="474"/>
      <c r="E11" s="478"/>
    </row>
    <row r="12" spans="1:7" x14ac:dyDescent="0.2">
      <c r="A12" s="906"/>
      <c r="B12" s="474"/>
      <c r="C12" s="474"/>
      <c r="D12" s="474"/>
      <c r="E12" s="478"/>
    </row>
    <row r="13" spans="1:7" x14ac:dyDescent="0.2">
      <c r="A13" s="906"/>
      <c r="B13" s="904"/>
      <c r="C13" s="474"/>
      <c r="D13" s="484"/>
      <c r="E13" s="478"/>
    </row>
    <row r="14" spans="1:7" x14ac:dyDescent="0.2">
      <c r="A14" s="479"/>
      <c r="B14" s="904"/>
      <c r="C14" s="481" t="s">
        <v>245</v>
      </c>
      <c r="D14" s="908">
        <v>44070.776064814818</v>
      </c>
      <c r="E14" s="478"/>
    </row>
    <row r="15" spans="1:7" x14ac:dyDescent="0.2">
      <c r="A15" s="479"/>
      <c r="B15" s="904"/>
      <c r="C15" s="481" t="s">
        <v>246</v>
      </c>
      <c r="D15" s="908">
        <v>44070.776076388887</v>
      </c>
      <c r="E15" s="478"/>
      <c r="G15" s="914"/>
    </row>
    <row r="16" spans="1:7" x14ac:dyDescent="0.2">
      <c r="A16" s="479"/>
      <c r="B16" s="904"/>
      <c r="C16" s="481" t="s">
        <v>247</v>
      </c>
      <c r="D16" s="908">
        <v>44070.776076388887</v>
      </c>
      <c r="E16" s="478"/>
      <c r="G16" s="914"/>
    </row>
    <row r="17" spans="1:7" x14ac:dyDescent="0.2">
      <c r="A17" s="479"/>
      <c r="B17" s="904"/>
      <c r="C17" s="481" t="s">
        <v>248</v>
      </c>
      <c r="D17" s="908">
        <v>44070.776076388887</v>
      </c>
      <c r="E17" s="478"/>
      <c r="G17" s="914"/>
    </row>
    <row r="18" spans="1:7" x14ac:dyDescent="0.2">
      <c r="A18" s="837"/>
      <c r="B18" s="905"/>
      <c r="C18" s="907" t="s">
        <v>200</v>
      </c>
      <c r="D18" s="909">
        <v>44070.776087962964</v>
      </c>
      <c r="E18" s="838"/>
      <c r="G18" s="914"/>
    </row>
    <row r="19" spans="1:7" x14ac:dyDescent="0.2">
      <c r="A19" s="837"/>
      <c r="B19" s="905"/>
      <c r="C19" s="907" t="s">
        <v>199</v>
      </c>
      <c r="D19" s="909">
        <v>44070.776087962964</v>
      </c>
      <c r="E19" s="838"/>
      <c r="G19" s="915"/>
    </row>
    <row r="20" spans="1:7" x14ac:dyDescent="0.2">
      <c r="A20" s="836"/>
      <c r="B20" s="839"/>
      <c r="C20" s="839"/>
      <c r="D20" s="839"/>
      <c r="E20" s="840"/>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400050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B1:BF297"/>
  <sheetViews>
    <sheetView showGridLines="0" tabSelected="1" zoomScaleNormal="100" workbookViewId="0">
      <selection activeCell="C14" sqref="C14"/>
    </sheetView>
  </sheetViews>
  <sheetFormatPr defaultColWidth="9.140625" defaultRowHeight="12.75" x14ac:dyDescent="0.2"/>
  <cols>
    <col min="1" max="1" width="1.5703125" style="496" customWidth="1"/>
    <col min="2" max="2" width="8.28515625" style="496" customWidth="1"/>
    <col min="3" max="4" width="9.5703125" style="496" customWidth="1"/>
    <col min="5" max="5" width="8.7109375" style="498" bestFit="1" customWidth="1"/>
    <col min="6" max="6" width="9" style="496" customWidth="1"/>
    <col min="7" max="7" width="8.7109375" style="498" bestFit="1" customWidth="1"/>
    <col min="8" max="8" width="9.28515625" style="496" customWidth="1"/>
    <col min="9" max="9" width="8.7109375" style="496" bestFit="1" customWidth="1"/>
    <col min="10" max="10" width="8.85546875" style="496" customWidth="1"/>
    <col min="11" max="11" width="8.7109375" style="496" bestFit="1" customWidth="1"/>
    <col min="12" max="12" width="7.85546875" style="496" customWidth="1"/>
    <col min="13" max="13" width="8.7109375" style="496" bestFit="1" customWidth="1"/>
    <col min="14" max="14" width="7.140625" style="496" customWidth="1"/>
    <col min="15" max="15" width="8.7109375" style="496" bestFit="1" customWidth="1"/>
    <col min="16" max="16" width="9.28515625" style="496" customWidth="1"/>
    <col min="17" max="17" width="8.7109375" style="496" bestFit="1" customWidth="1"/>
    <col min="18" max="18" width="9.85546875" style="496" customWidth="1"/>
    <col min="19" max="19" width="9" style="496" customWidth="1"/>
    <col min="20" max="20" width="7.85546875" style="496" customWidth="1"/>
    <col min="21" max="21" width="8.7109375" style="496" bestFit="1" customWidth="1"/>
    <col min="22" max="22" width="7.42578125" style="496" customWidth="1"/>
    <col min="23" max="23" width="8.7109375" style="496" bestFit="1" customWidth="1"/>
    <col min="24" max="24" width="7.85546875" style="496" customWidth="1"/>
    <col min="25" max="25" width="7.140625" style="496" customWidth="1"/>
    <col min="26" max="26" width="8.42578125" style="496" customWidth="1"/>
    <col min="27" max="27" width="7.140625" style="496" customWidth="1"/>
    <col min="28" max="28" width="9.140625" style="496" customWidth="1"/>
    <col min="29" max="29" width="7.42578125" style="496" customWidth="1"/>
    <col min="30" max="30" width="8.5703125" style="496" customWidth="1"/>
    <col min="31" max="31" width="5.85546875" style="496" customWidth="1"/>
    <col min="32" max="32" width="7.85546875" style="496" customWidth="1"/>
    <col min="33" max="33" width="4.42578125" style="496" hidden="1" customWidth="1"/>
    <col min="34" max="34" width="6.5703125" style="496" hidden="1" customWidth="1"/>
    <col min="35" max="46" width="7.140625" style="496" hidden="1" customWidth="1"/>
    <col min="47" max="58" width="6.5703125" style="496" hidden="1" customWidth="1"/>
    <col min="59" max="67" width="0" style="496" hidden="1" customWidth="1"/>
    <col min="68" max="16384" width="9.140625" style="496"/>
  </cols>
  <sheetData>
    <row r="1" spans="2:27" s="538" customFormat="1" ht="15.75" x14ac:dyDescent="0.25">
      <c r="B1" s="771" t="s">
        <v>241</v>
      </c>
      <c r="C1" s="772"/>
      <c r="D1" s="772"/>
      <c r="E1" s="773"/>
      <c r="F1" s="772"/>
      <c r="G1" s="773"/>
    </row>
    <row r="2" spans="2:27" ht="5.25" customHeight="1" x14ac:dyDescent="0.25">
      <c r="B2" s="499"/>
      <c r="C2" s="497"/>
      <c r="D2" s="497"/>
      <c r="F2" s="497"/>
    </row>
    <row r="3" spans="2:27" x14ac:dyDescent="0.2">
      <c r="B3" s="497" t="s">
        <v>227</v>
      </c>
      <c r="D3" s="1115" t="s">
        <v>228</v>
      </c>
      <c r="E3" s="1379">
        <v>250</v>
      </c>
    </row>
    <row r="4" spans="2:27" x14ac:dyDescent="0.2">
      <c r="B4" s="497"/>
      <c r="D4" s="1115"/>
      <c r="E4" s="770"/>
    </row>
    <row r="5" spans="2:27" ht="15.75" thickBot="1" x14ac:dyDescent="0.3">
      <c r="B5" s="500" t="s">
        <v>74</v>
      </c>
      <c r="E5" s="496"/>
      <c r="G5" s="496"/>
      <c r="N5" s="501"/>
      <c r="O5" s="501"/>
    </row>
    <row r="6" spans="2:27" ht="24" customHeight="1" x14ac:dyDescent="0.2">
      <c r="B6" s="502"/>
      <c r="C6" s="503"/>
      <c r="D6" s="504"/>
      <c r="E6" s="504"/>
      <c r="F6" s="503"/>
      <c r="G6" s="503"/>
      <c r="H6" s="833"/>
      <c r="I6" s="603"/>
      <c r="J6" s="1511" t="s">
        <v>76</v>
      </c>
      <c r="K6" s="1512"/>
      <c r="L6" s="1519" t="s">
        <v>83</v>
      </c>
      <c r="M6" s="1512"/>
      <c r="N6" s="1511" t="s">
        <v>109</v>
      </c>
      <c r="O6" s="1512"/>
    </row>
    <row r="7" spans="2:27" ht="27" customHeight="1" thickBot="1" x14ac:dyDescent="0.3">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2:27" ht="13.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2: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2: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2:27" x14ac:dyDescent="0.2">
      <c r="B11" s="542" t="s">
        <v>67</v>
      </c>
      <c r="C11" s="1384" t="s">
        <v>324</v>
      </c>
      <c r="D11" s="1388"/>
      <c r="E11" s="1389"/>
      <c r="F11" s="1390" t="s">
        <v>6</v>
      </c>
      <c r="G11" s="1390" t="s">
        <v>229</v>
      </c>
      <c r="H11" s="895" t="b">
        <f t="shared" si="0"/>
        <v>1</v>
      </c>
      <c r="I11" s="1395">
        <v>2025</v>
      </c>
      <c r="J11" s="1396">
        <v>0</v>
      </c>
      <c r="K11" s="1402">
        <v>0.5</v>
      </c>
      <c r="L11" s="1403">
        <v>5</v>
      </c>
      <c r="M11" s="1404">
        <v>5</v>
      </c>
      <c r="N11" s="1405">
        <v>0</v>
      </c>
      <c r="O11" s="1406">
        <v>350</v>
      </c>
      <c r="P11" s="497"/>
    </row>
    <row r="12" spans="2:27" x14ac:dyDescent="0.2">
      <c r="B12" s="542" t="s">
        <v>205</v>
      </c>
      <c r="C12" s="1384" t="s">
        <v>445</v>
      </c>
      <c r="D12" s="1388"/>
      <c r="E12" s="1389"/>
      <c r="F12" s="1390" t="s">
        <v>207</v>
      </c>
      <c r="G12" s="1390" t="s">
        <v>229</v>
      </c>
      <c r="H12" s="895" t="b">
        <f t="shared" si="0"/>
        <v>0</v>
      </c>
      <c r="I12" s="1395">
        <v>2025</v>
      </c>
      <c r="J12" s="1396">
        <v>0</v>
      </c>
      <c r="K12" s="1402">
        <v>0.5</v>
      </c>
      <c r="L12" s="1403">
        <v>5</v>
      </c>
      <c r="M12" s="1404">
        <v>5</v>
      </c>
      <c r="N12" s="1405">
        <v>0</v>
      </c>
      <c r="O12" s="1406">
        <v>350</v>
      </c>
    </row>
    <row r="13" spans="2:27" ht="13.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2:27" ht="15.75" x14ac:dyDescent="0.25">
      <c r="B14" s="499"/>
      <c r="C14" s="496" t="s">
        <v>265</v>
      </c>
      <c r="D14" s="497"/>
      <c r="F14" s="497"/>
    </row>
    <row r="15" spans="2:27" ht="15.75" thickBot="1" x14ac:dyDescent="0.25">
      <c r="B15" s="520" t="s">
        <v>119</v>
      </c>
      <c r="C15" s="521"/>
      <c r="D15" s="497"/>
      <c r="F15" s="497"/>
    </row>
    <row r="16" spans="2:27" ht="13.5" thickBot="1" x14ac:dyDescent="0.25">
      <c r="B16" s="522"/>
      <c r="C16" s="521"/>
      <c r="D16" s="497"/>
      <c r="F16" s="497"/>
      <c r="T16" s="769" t="s">
        <v>230</v>
      </c>
      <c r="U16" s="496" t="s">
        <v>231</v>
      </c>
      <c r="Z16" s="901"/>
      <c r="AA16" s="496" t="s">
        <v>262</v>
      </c>
    </row>
    <row r="17" spans="2:31" x14ac:dyDescent="0.2">
      <c r="B17" s="522"/>
      <c r="C17" s="1498"/>
      <c r="G17" s="1499"/>
      <c r="H17" s="1500"/>
      <c r="I17" s="1501"/>
      <c r="J17" s="1501"/>
      <c r="K17" s="1500"/>
      <c r="L17" s="1500"/>
      <c r="M17" s="1500"/>
      <c r="N17" s="1500"/>
      <c r="O17" s="1500"/>
      <c r="P17" s="1500"/>
      <c r="U17" s="496" t="s">
        <v>232</v>
      </c>
      <c r="AA17" s="496" t="s">
        <v>263</v>
      </c>
    </row>
    <row r="18" spans="2:31" ht="13.5" thickBot="1" x14ac:dyDescent="0.25">
      <c r="B18" s="1502"/>
      <c r="C18" s="1503"/>
      <c r="F18" s="1503"/>
      <c r="G18" s="1499"/>
      <c r="H18" s="1500"/>
      <c r="I18" s="1501"/>
      <c r="J18" s="1501"/>
      <c r="K18" s="1500"/>
      <c r="L18" s="1500"/>
      <c r="M18" s="1500"/>
      <c r="N18" s="1500"/>
      <c r="O18" s="1500"/>
      <c r="P18" s="1500"/>
      <c r="Z18" s="1497" t="s">
        <v>415</v>
      </c>
    </row>
    <row r="19" spans="2:31" ht="16.5" thickBot="1" x14ac:dyDescent="0.3">
      <c r="B19" s="748"/>
      <c r="C19" s="1513" t="s">
        <v>221</v>
      </c>
      <c r="D19" s="1514"/>
      <c r="E19" s="1514"/>
      <c r="F19" s="1514"/>
      <c r="G19" s="1514"/>
      <c r="H19" s="1514"/>
      <c r="I19" s="1514" t="s">
        <v>222</v>
      </c>
      <c r="J19" s="1514"/>
      <c r="K19" s="1514"/>
      <c r="L19" s="1514"/>
      <c r="M19" s="1515"/>
      <c r="N19" s="1516" t="s">
        <v>319</v>
      </c>
      <c r="O19" s="1517"/>
      <c r="P19" s="1517"/>
      <c r="Q19" s="1517"/>
      <c r="R19" s="1517"/>
      <c r="S19" s="1518"/>
      <c r="T19" s="1516" t="s">
        <v>320</v>
      </c>
      <c r="U19" s="1517"/>
      <c r="V19" s="1517"/>
      <c r="W19" s="1517"/>
      <c r="X19" s="1517"/>
      <c r="Y19" s="1518"/>
      <c r="Z19" s="1516" t="s">
        <v>226</v>
      </c>
      <c r="AA19" s="1517"/>
      <c r="AB19" s="1517"/>
      <c r="AC19" s="1517"/>
      <c r="AD19" s="1517"/>
      <c r="AE19" s="1518"/>
    </row>
    <row r="20" spans="2:31" ht="13.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3" t="s">
        <v>206</v>
      </c>
      <c r="T20" s="1283"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3.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151412</v>
      </c>
      <c r="D22" s="1417">
        <v>1000000</v>
      </c>
      <c r="E22" s="1417">
        <v>1000000</v>
      </c>
      <c r="F22" s="1417">
        <v>1000000</v>
      </c>
      <c r="G22" s="1417">
        <v>1000000</v>
      </c>
      <c r="H22" s="1418">
        <v>1000000</v>
      </c>
      <c r="I22" s="1357">
        <f>D22*I$21</f>
        <v>0</v>
      </c>
      <c r="J22" s="528">
        <f t="shared" ref="J22:K37" si="5">E22*J$21</f>
        <v>0</v>
      </c>
      <c r="K22" s="528">
        <f t="shared" si="5"/>
        <v>0</v>
      </c>
      <c r="L22" s="528">
        <f t="shared" ref="L22:M37" si="6">G22*L$21</f>
        <v>0</v>
      </c>
      <c r="M22" s="1362">
        <f t="shared" si="6"/>
        <v>0</v>
      </c>
      <c r="N22" s="1434">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151412</v>
      </c>
      <c r="D23" s="1420">
        <v>1000000</v>
      </c>
      <c r="E23" s="1420">
        <v>1000000</v>
      </c>
      <c r="F23" s="1420">
        <v>1000000</v>
      </c>
      <c r="G23" s="1420">
        <v>1000000</v>
      </c>
      <c r="H23" s="1421">
        <v>1000000</v>
      </c>
      <c r="I23" s="1358">
        <f t="shared" ref="I23:I65" si="7">D23*I$21</f>
        <v>0</v>
      </c>
      <c r="J23" s="524">
        <f t="shared" ref="J23:J65" si="8">E23*J$21</f>
        <v>0</v>
      </c>
      <c r="K23" s="524">
        <f t="shared" si="5"/>
        <v>0</v>
      </c>
      <c r="L23" s="524">
        <f t="shared" si="6"/>
        <v>0</v>
      </c>
      <c r="M23" s="1363">
        <f t="shared" si="6"/>
        <v>0</v>
      </c>
      <c r="N23" s="1440">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151412</v>
      </c>
      <c r="D24" s="1420">
        <v>1000000</v>
      </c>
      <c r="E24" s="1420">
        <v>1000000</v>
      </c>
      <c r="F24" s="1420">
        <v>1000000</v>
      </c>
      <c r="G24" s="1420">
        <v>1000000</v>
      </c>
      <c r="H24" s="1421">
        <v>1000000</v>
      </c>
      <c r="I24" s="1358">
        <f t="shared" si="7"/>
        <v>0</v>
      </c>
      <c r="J24" s="524">
        <f t="shared" si="8"/>
        <v>0</v>
      </c>
      <c r="K24" s="524">
        <f t="shared" si="5"/>
        <v>0</v>
      </c>
      <c r="L24" s="524">
        <f t="shared" si="6"/>
        <v>0</v>
      </c>
      <c r="M24" s="1363">
        <f t="shared" si="6"/>
        <v>0</v>
      </c>
      <c r="N24" s="1440">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3.5" thickBot="1" x14ac:dyDescent="0.25">
      <c r="B25" s="525">
        <v>2010</v>
      </c>
      <c r="C25" s="1422">
        <v>151412</v>
      </c>
      <c r="D25" s="1423">
        <v>1000000</v>
      </c>
      <c r="E25" s="1423">
        <v>1000000</v>
      </c>
      <c r="F25" s="1423">
        <v>1000000</v>
      </c>
      <c r="G25" s="1423">
        <v>1000000</v>
      </c>
      <c r="H25" s="1424">
        <v>1000000</v>
      </c>
      <c r="I25" s="1359">
        <f t="shared" si="7"/>
        <v>0</v>
      </c>
      <c r="J25" s="526">
        <f t="shared" si="8"/>
        <v>0</v>
      </c>
      <c r="K25" s="526">
        <f t="shared" si="5"/>
        <v>0</v>
      </c>
      <c r="L25" s="526">
        <f t="shared" si="6"/>
        <v>0</v>
      </c>
      <c r="M25" s="1364">
        <f t="shared" si="6"/>
        <v>0</v>
      </c>
      <c r="N25" s="1446">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151412</v>
      </c>
      <c r="D26" s="1426">
        <v>1000000</v>
      </c>
      <c r="E26" s="1426">
        <v>1000000</v>
      </c>
      <c r="F26" s="1426">
        <v>1000000</v>
      </c>
      <c r="G26" s="1426">
        <v>1000000</v>
      </c>
      <c r="H26" s="1427">
        <v>1000000</v>
      </c>
      <c r="I26" s="1357">
        <f t="shared" si="7"/>
        <v>0</v>
      </c>
      <c r="J26" s="528">
        <f t="shared" si="8"/>
        <v>0</v>
      </c>
      <c r="K26" s="528">
        <f t="shared" si="5"/>
        <v>0</v>
      </c>
      <c r="L26" s="528">
        <f t="shared" si="6"/>
        <v>0</v>
      </c>
      <c r="M26" s="1362">
        <f t="shared" si="6"/>
        <v>0</v>
      </c>
      <c r="N26" s="1452">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151412</v>
      </c>
      <c r="D27" s="1420">
        <v>1000000</v>
      </c>
      <c r="E27" s="1420">
        <v>1000000</v>
      </c>
      <c r="F27" s="1420">
        <v>1000000</v>
      </c>
      <c r="G27" s="1420">
        <v>1000000</v>
      </c>
      <c r="H27" s="1421">
        <v>1000000</v>
      </c>
      <c r="I27" s="1358">
        <f t="shared" si="7"/>
        <v>0</v>
      </c>
      <c r="J27" s="524">
        <f t="shared" si="8"/>
        <v>0</v>
      </c>
      <c r="K27" s="524">
        <f t="shared" si="5"/>
        <v>0</v>
      </c>
      <c r="L27" s="524">
        <f t="shared" si="6"/>
        <v>0</v>
      </c>
      <c r="M27" s="1363">
        <f t="shared" si="6"/>
        <v>0</v>
      </c>
      <c r="N27" s="1440">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151412</v>
      </c>
      <c r="D28" s="1420">
        <v>1000000</v>
      </c>
      <c r="E28" s="1420">
        <v>1000000</v>
      </c>
      <c r="F28" s="1420">
        <v>1000000</v>
      </c>
      <c r="G28" s="1420">
        <v>1000000</v>
      </c>
      <c r="H28" s="1421">
        <v>1000000</v>
      </c>
      <c r="I28" s="1358">
        <f t="shared" si="7"/>
        <v>0</v>
      </c>
      <c r="J28" s="524">
        <f t="shared" si="8"/>
        <v>0</v>
      </c>
      <c r="K28" s="524">
        <f t="shared" si="5"/>
        <v>0</v>
      </c>
      <c r="L28" s="524">
        <f t="shared" si="6"/>
        <v>0</v>
      </c>
      <c r="M28" s="1363">
        <f t="shared" si="6"/>
        <v>0</v>
      </c>
      <c r="N28" s="1440">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151412</v>
      </c>
      <c r="D29" s="1420">
        <v>1000000</v>
      </c>
      <c r="E29" s="1420">
        <v>1000000</v>
      </c>
      <c r="F29" s="1420">
        <v>1000000</v>
      </c>
      <c r="G29" s="1420">
        <v>1000000</v>
      </c>
      <c r="H29" s="1421">
        <v>1000000</v>
      </c>
      <c r="I29" s="1358">
        <f t="shared" si="7"/>
        <v>0</v>
      </c>
      <c r="J29" s="524">
        <f t="shared" si="8"/>
        <v>0</v>
      </c>
      <c r="K29" s="524">
        <f t="shared" si="5"/>
        <v>0</v>
      </c>
      <c r="L29" s="524">
        <f t="shared" si="6"/>
        <v>0</v>
      </c>
      <c r="M29" s="1363">
        <f t="shared" si="6"/>
        <v>0</v>
      </c>
      <c r="N29" s="1440">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3.5" thickBot="1" x14ac:dyDescent="0.25">
      <c r="B30" s="525">
        <v>2015</v>
      </c>
      <c r="C30" s="1422">
        <v>151412</v>
      </c>
      <c r="D30" s="1423">
        <v>1000000</v>
      </c>
      <c r="E30" s="1423">
        <v>1000000</v>
      </c>
      <c r="F30" s="1423">
        <v>1000000</v>
      </c>
      <c r="G30" s="1423">
        <v>1000000</v>
      </c>
      <c r="H30" s="1424">
        <v>1000000</v>
      </c>
      <c r="I30" s="1359">
        <f t="shared" si="7"/>
        <v>0</v>
      </c>
      <c r="J30" s="526">
        <f t="shared" si="8"/>
        <v>0</v>
      </c>
      <c r="K30" s="526">
        <f t="shared" si="5"/>
        <v>0</v>
      </c>
      <c r="L30" s="526">
        <f t="shared" si="6"/>
        <v>0</v>
      </c>
      <c r="M30" s="1364">
        <f t="shared" si="6"/>
        <v>0</v>
      </c>
      <c r="N30" s="1446">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151412</v>
      </c>
      <c r="D31" s="1426">
        <v>1000000</v>
      </c>
      <c r="E31" s="1426">
        <v>1000000</v>
      </c>
      <c r="F31" s="1426">
        <v>1000000</v>
      </c>
      <c r="G31" s="1426">
        <v>1000000</v>
      </c>
      <c r="H31" s="1427">
        <v>1000000</v>
      </c>
      <c r="I31" s="1357">
        <f t="shared" si="7"/>
        <v>0</v>
      </c>
      <c r="J31" s="528">
        <f t="shared" si="8"/>
        <v>0</v>
      </c>
      <c r="K31" s="528">
        <f t="shared" si="5"/>
        <v>0</v>
      </c>
      <c r="L31" s="528">
        <f t="shared" si="6"/>
        <v>0</v>
      </c>
      <c r="M31" s="1362">
        <f t="shared" si="6"/>
        <v>0</v>
      </c>
      <c r="N31" s="1452">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151412</v>
      </c>
      <c r="D32" s="1420">
        <v>1000000</v>
      </c>
      <c r="E32" s="1420">
        <v>1000000</v>
      </c>
      <c r="F32" s="1420">
        <v>1000000</v>
      </c>
      <c r="G32" s="1420">
        <v>1000000</v>
      </c>
      <c r="H32" s="1421">
        <v>1000000</v>
      </c>
      <c r="I32" s="1358">
        <f t="shared" si="7"/>
        <v>0</v>
      </c>
      <c r="J32" s="524">
        <f t="shared" si="8"/>
        <v>0</v>
      </c>
      <c r="K32" s="524">
        <f t="shared" si="5"/>
        <v>0</v>
      </c>
      <c r="L32" s="524">
        <f t="shared" si="6"/>
        <v>0</v>
      </c>
      <c r="M32" s="1363">
        <f t="shared" si="6"/>
        <v>0</v>
      </c>
      <c r="N32" s="1440">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151412</v>
      </c>
      <c r="D33" s="1420">
        <v>1000000</v>
      </c>
      <c r="E33" s="1420">
        <v>1000000</v>
      </c>
      <c r="F33" s="1420">
        <v>1000000</v>
      </c>
      <c r="G33" s="1420">
        <v>1000000</v>
      </c>
      <c r="H33" s="1421">
        <v>1000000</v>
      </c>
      <c r="I33" s="1358">
        <f t="shared" si="7"/>
        <v>0</v>
      </c>
      <c r="J33" s="524">
        <f t="shared" si="8"/>
        <v>0</v>
      </c>
      <c r="K33" s="524">
        <f t="shared" si="5"/>
        <v>0</v>
      </c>
      <c r="L33" s="524">
        <f t="shared" si="6"/>
        <v>0</v>
      </c>
      <c r="M33" s="1363">
        <f t="shared" si="6"/>
        <v>0</v>
      </c>
      <c r="N33" s="1440">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151412</v>
      </c>
      <c r="D34" s="1420">
        <v>1000000</v>
      </c>
      <c r="E34" s="1420">
        <v>1000000</v>
      </c>
      <c r="F34" s="1420">
        <v>1000000</v>
      </c>
      <c r="G34" s="1420">
        <v>1000000</v>
      </c>
      <c r="H34" s="1421">
        <v>1000000</v>
      </c>
      <c r="I34" s="1358">
        <f t="shared" si="7"/>
        <v>0</v>
      </c>
      <c r="J34" s="524">
        <f t="shared" si="8"/>
        <v>0</v>
      </c>
      <c r="K34" s="524">
        <f t="shared" si="5"/>
        <v>0</v>
      </c>
      <c r="L34" s="524">
        <f t="shared" si="6"/>
        <v>0</v>
      </c>
      <c r="M34" s="1363">
        <f t="shared" si="6"/>
        <v>0</v>
      </c>
      <c r="N34" s="1440">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3.5" thickBot="1" x14ac:dyDescent="0.25">
      <c r="B35" s="525">
        <v>2020</v>
      </c>
      <c r="C35" s="1422">
        <v>151412</v>
      </c>
      <c r="D35" s="1423">
        <v>1000000</v>
      </c>
      <c r="E35" s="1423">
        <v>1000000</v>
      </c>
      <c r="F35" s="1423">
        <v>1000000</v>
      </c>
      <c r="G35" s="1423">
        <v>1000000</v>
      </c>
      <c r="H35" s="1424">
        <v>1000000</v>
      </c>
      <c r="I35" s="1359">
        <f t="shared" si="7"/>
        <v>0</v>
      </c>
      <c r="J35" s="526">
        <f t="shared" si="8"/>
        <v>0</v>
      </c>
      <c r="K35" s="526">
        <f t="shared" si="5"/>
        <v>0</v>
      </c>
      <c r="L35" s="526">
        <f t="shared" si="6"/>
        <v>0</v>
      </c>
      <c r="M35" s="1364">
        <f t="shared" si="6"/>
        <v>0</v>
      </c>
      <c r="N35" s="1446">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151412</v>
      </c>
      <c r="D36" s="1426">
        <v>1000000</v>
      </c>
      <c r="E36" s="1426">
        <v>1000000</v>
      </c>
      <c r="F36" s="1426">
        <v>1000000</v>
      </c>
      <c r="G36" s="1426">
        <v>1000000</v>
      </c>
      <c r="H36" s="1427">
        <v>1000000</v>
      </c>
      <c r="I36" s="1357">
        <f t="shared" si="7"/>
        <v>0</v>
      </c>
      <c r="J36" s="528">
        <f t="shared" si="8"/>
        <v>0</v>
      </c>
      <c r="K36" s="528">
        <f t="shared" si="5"/>
        <v>0</v>
      </c>
      <c r="L36" s="528">
        <f t="shared" si="6"/>
        <v>0</v>
      </c>
      <c r="M36" s="1362">
        <f t="shared" si="6"/>
        <v>0</v>
      </c>
      <c r="N36" s="1452">
        <v>6.4888939494054592</v>
      </c>
      <c r="O36" s="1453">
        <v>6.4994745530291773</v>
      </c>
      <c r="P36" s="1453">
        <v>6.9255427244480288</v>
      </c>
      <c r="Q36" s="1460">
        <v>13.444232915384625</v>
      </c>
      <c r="R36" s="1460">
        <v>8.6439710002843295</v>
      </c>
      <c r="S36" s="1461">
        <v>1</v>
      </c>
      <c r="T36" s="1455">
        <v>1</v>
      </c>
      <c r="U36" s="1456">
        <v>1</v>
      </c>
      <c r="V36" s="1456">
        <v>1</v>
      </c>
      <c r="W36" s="1456">
        <v>1</v>
      </c>
      <c r="X36" s="1456">
        <v>1</v>
      </c>
      <c r="Y36" s="1457">
        <v>1</v>
      </c>
      <c r="Z36" s="1455">
        <v>0</v>
      </c>
      <c r="AA36" s="1456">
        <v>0</v>
      </c>
      <c r="AB36" s="1456">
        <v>0</v>
      </c>
      <c r="AC36" s="1456">
        <v>476.94400953435968</v>
      </c>
      <c r="AD36" s="1456">
        <v>0</v>
      </c>
      <c r="AE36" s="1457">
        <v>0</v>
      </c>
    </row>
    <row r="37" spans="2:31" x14ac:dyDescent="0.2">
      <c r="B37" s="523">
        <v>2022</v>
      </c>
      <c r="C37" s="1419">
        <v>152694.05291325031</v>
      </c>
      <c r="D37" s="1420">
        <v>1000000</v>
      </c>
      <c r="E37" s="1420">
        <v>1000000</v>
      </c>
      <c r="F37" s="1420">
        <v>1000000</v>
      </c>
      <c r="G37" s="1420">
        <v>1000000</v>
      </c>
      <c r="H37" s="1421">
        <v>1000000</v>
      </c>
      <c r="I37" s="1358">
        <f t="shared" si="7"/>
        <v>0</v>
      </c>
      <c r="J37" s="524">
        <f t="shared" si="8"/>
        <v>0</v>
      </c>
      <c r="K37" s="524">
        <f t="shared" si="5"/>
        <v>0</v>
      </c>
      <c r="L37" s="524">
        <f t="shared" si="6"/>
        <v>0</v>
      </c>
      <c r="M37" s="1363">
        <f t="shared" si="6"/>
        <v>0</v>
      </c>
      <c r="N37" s="1440">
        <v>6.618661358461285</v>
      </c>
      <c r="O37" s="1441">
        <v>6.7012534855663848</v>
      </c>
      <c r="P37" s="1441">
        <v>7.1508261156028468</v>
      </c>
      <c r="Q37" s="1462">
        <v>13.708325284148495</v>
      </c>
      <c r="R37" s="1462">
        <v>8.8705218665297902</v>
      </c>
      <c r="S37" s="1463">
        <v>1</v>
      </c>
      <c r="T37" s="1443">
        <v>1</v>
      </c>
      <c r="U37" s="1444">
        <v>1</v>
      </c>
      <c r="V37" s="1444">
        <v>1</v>
      </c>
      <c r="W37" s="1444">
        <v>1</v>
      </c>
      <c r="X37" s="1444">
        <v>1</v>
      </c>
      <c r="Y37" s="1445">
        <v>1</v>
      </c>
      <c r="Z37" s="1443">
        <v>0</v>
      </c>
      <c r="AA37" s="1444">
        <v>0</v>
      </c>
      <c r="AB37" s="1444">
        <v>0</v>
      </c>
      <c r="AC37" s="1444">
        <v>482.65361777609206</v>
      </c>
      <c r="AD37" s="1444">
        <v>0</v>
      </c>
      <c r="AE37" s="1445">
        <v>0</v>
      </c>
    </row>
    <row r="38" spans="2:31" x14ac:dyDescent="0.2">
      <c r="B38" s="523">
        <v>2023</v>
      </c>
      <c r="C38" s="1419">
        <v>153887.62389136266</v>
      </c>
      <c r="D38" s="1420">
        <v>1000000</v>
      </c>
      <c r="E38" s="1420">
        <v>1000000</v>
      </c>
      <c r="F38" s="1420">
        <v>1000000</v>
      </c>
      <c r="G38" s="1420">
        <v>1000000</v>
      </c>
      <c r="H38" s="1421">
        <v>1000000</v>
      </c>
      <c r="I38" s="1358">
        <f t="shared" si="7"/>
        <v>0</v>
      </c>
      <c r="J38" s="524">
        <f t="shared" si="8"/>
        <v>0</v>
      </c>
      <c r="K38" s="524">
        <f t="shared" ref="K38:K65" si="9">F38*K$21</f>
        <v>0</v>
      </c>
      <c r="L38" s="524">
        <f t="shared" ref="L38:L65" si="10">G38*L$21</f>
        <v>0</v>
      </c>
      <c r="M38" s="1363">
        <f t="shared" ref="M38:M65" si="11">H38*M$21</f>
        <v>0</v>
      </c>
      <c r="N38" s="1440">
        <v>6.7394727631646916</v>
      </c>
      <c r="O38" s="1441">
        <v>6.8609406454311026</v>
      </c>
      <c r="P38" s="1441">
        <v>7.329114623951317</v>
      </c>
      <c r="Q38" s="1462">
        <v>13.91732708517682</v>
      </c>
      <c r="R38" s="1462">
        <v>9.0498134503474308</v>
      </c>
      <c r="S38" s="1463">
        <v>1</v>
      </c>
      <c r="T38" s="1443">
        <v>1</v>
      </c>
      <c r="U38" s="1444">
        <v>1</v>
      </c>
      <c r="V38" s="1444">
        <v>1</v>
      </c>
      <c r="W38" s="1444">
        <v>1</v>
      </c>
      <c r="X38" s="1444">
        <v>1</v>
      </c>
      <c r="Y38" s="1445">
        <v>1</v>
      </c>
      <c r="Z38" s="1443">
        <v>0</v>
      </c>
      <c r="AA38" s="1444">
        <v>0</v>
      </c>
      <c r="AB38" s="1444">
        <v>0</v>
      </c>
      <c r="AC38" s="1444">
        <v>488.36322601782445</v>
      </c>
      <c r="AD38" s="1444">
        <v>0</v>
      </c>
      <c r="AE38" s="1445">
        <v>0</v>
      </c>
    </row>
    <row r="39" spans="2:31" x14ac:dyDescent="0.2">
      <c r="B39" s="523">
        <v>2024</v>
      </c>
      <c r="C39" s="1419">
        <v>155468.9856745867</v>
      </c>
      <c r="D39" s="1420">
        <v>1000000</v>
      </c>
      <c r="E39" s="1420">
        <v>1000000</v>
      </c>
      <c r="F39" s="1420">
        <v>1000000</v>
      </c>
      <c r="G39" s="1420">
        <v>1000000</v>
      </c>
      <c r="H39" s="1421">
        <v>1000000</v>
      </c>
      <c r="I39" s="1358">
        <f t="shared" si="7"/>
        <v>0</v>
      </c>
      <c r="J39" s="524">
        <f t="shared" si="8"/>
        <v>0</v>
      </c>
      <c r="K39" s="524">
        <f t="shared" si="9"/>
        <v>0</v>
      </c>
      <c r="L39" s="524">
        <f t="shared" si="10"/>
        <v>0</v>
      </c>
      <c r="M39" s="1363">
        <f t="shared" si="11"/>
        <v>0</v>
      </c>
      <c r="N39" s="1440">
        <v>6.8995357521942369</v>
      </c>
      <c r="O39" s="1441">
        <v>7.0702485864037987</v>
      </c>
      <c r="P39" s="1441">
        <v>7.5628040490317403</v>
      </c>
      <c r="Q39" s="1462">
        <v>14.191273573234364</v>
      </c>
      <c r="R39" s="1462">
        <v>9.2848176440120707</v>
      </c>
      <c r="S39" s="1463">
        <v>1</v>
      </c>
      <c r="T39" s="1443">
        <v>1</v>
      </c>
      <c r="U39" s="1444">
        <v>1</v>
      </c>
      <c r="V39" s="1444">
        <v>1</v>
      </c>
      <c r="W39" s="1444">
        <v>1</v>
      </c>
      <c r="X39" s="1444">
        <v>1</v>
      </c>
      <c r="Y39" s="1445">
        <v>1</v>
      </c>
      <c r="Z39" s="1443">
        <v>0</v>
      </c>
      <c r="AA39" s="1444">
        <v>0</v>
      </c>
      <c r="AB39" s="1444">
        <v>0</v>
      </c>
      <c r="AC39" s="1444">
        <v>494.07283425955683</v>
      </c>
      <c r="AD39" s="1444">
        <v>0</v>
      </c>
      <c r="AE39" s="1445">
        <v>0</v>
      </c>
    </row>
    <row r="40" spans="2:31" ht="13.5" thickBot="1" x14ac:dyDescent="0.25">
      <c r="B40" s="525">
        <v>2025</v>
      </c>
      <c r="C40" s="1422">
        <v>157278.03996967364</v>
      </c>
      <c r="D40" s="1423">
        <v>1370.3512113064376</v>
      </c>
      <c r="E40" s="1423">
        <v>9327.4806667977791</v>
      </c>
      <c r="F40" s="1423">
        <v>548412.8458185317</v>
      </c>
      <c r="G40" s="1423">
        <v>140076.3663988047</v>
      </c>
      <c r="H40" s="1424">
        <v>1000000</v>
      </c>
      <c r="I40" s="1359">
        <f t="shared" si="7"/>
        <v>0</v>
      </c>
      <c r="J40" s="526">
        <f t="shared" si="8"/>
        <v>0</v>
      </c>
      <c r="K40" s="526">
        <f t="shared" si="9"/>
        <v>0</v>
      </c>
      <c r="L40" s="526">
        <f t="shared" si="10"/>
        <v>0</v>
      </c>
      <c r="M40" s="1364">
        <f t="shared" si="11"/>
        <v>0</v>
      </c>
      <c r="N40" s="1446">
        <v>7.0826454244148485</v>
      </c>
      <c r="O40" s="1447">
        <v>7.2795565273764931</v>
      </c>
      <c r="P40" s="1447">
        <v>7.7964934741121619</v>
      </c>
      <c r="Q40" s="1458">
        <v>14.465220061291907</v>
      </c>
      <c r="R40" s="1458">
        <v>9.5198218376767052</v>
      </c>
      <c r="S40" s="1459">
        <v>1</v>
      </c>
      <c r="T40" s="1449">
        <v>1</v>
      </c>
      <c r="U40" s="1450">
        <v>1</v>
      </c>
      <c r="V40" s="1450">
        <v>1</v>
      </c>
      <c r="W40" s="1450">
        <v>1</v>
      </c>
      <c r="X40" s="1450">
        <v>1</v>
      </c>
      <c r="Y40" s="1451">
        <v>1</v>
      </c>
      <c r="Z40" s="1449">
        <v>0</v>
      </c>
      <c r="AA40" s="1450">
        <v>0</v>
      </c>
      <c r="AB40" s="1450">
        <v>0</v>
      </c>
      <c r="AC40" s="1450">
        <v>499.78244250128921</v>
      </c>
      <c r="AD40" s="1450">
        <v>0</v>
      </c>
      <c r="AE40" s="1451">
        <v>0</v>
      </c>
    </row>
    <row r="41" spans="2:31" x14ac:dyDescent="0.2">
      <c r="B41" s="527">
        <v>2026</v>
      </c>
      <c r="C41" s="1425">
        <v>159370.44685304872</v>
      </c>
      <c r="D41" s="1426">
        <v>1650.8697980021368</v>
      </c>
      <c r="E41" s="1426">
        <v>9251.4285734219065</v>
      </c>
      <c r="F41" s="1426">
        <v>509059.18341057911</v>
      </c>
      <c r="G41" s="1426">
        <v>126559.32027063987</v>
      </c>
      <c r="H41" s="1427">
        <v>1000000</v>
      </c>
      <c r="I41" s="1357">
        <f t="shared" si="7"/>
        <v>0</v>
      </c>
      <c r="J41" s="528">
        <f t="shared" si="8"/>
        <v>0</v>
      </c>
      <c r="K41" s="528">
        <f t="shared" si="9"/>
        <v>0</v>
      </c>
      <c r="L41" s="528">
        <f t="shared" si="10"/>
        <v>0</v>
      </c>
      <c r="M41" s="1362">
        <f t="shared" si="11"/>
        <v>0</v>
      </c>
      <c r="N41" s="1452">
        <v>7.294435606504738</v>
      </c>
      <c r="O41" s="1453">
        <v>7.43924368724121</v>
      </c>
      <c r="P41" s="1453">
        <v>7.9747819824606321</v>
      </c>
      <c r="Q41" s="1460">
        <v>14.674221862320229</v>
      </c>
      <c r="R41" s="1460">
        <v>9.6991134214943475</v>
      </c>
      <c r="S41" s="1461">
        <v>1</v>
      </c>
      <c r="T41" s="1455">
        <v>1</v>
      </c>
      <c r="U41" s="1456">
        <v>1</v>
      </c>
      <c r="V41" s="1456">
        <v>1</v>
      </c>
      <c r="W41" s="1456">
        <v>1</v>
      </c>
      <c r="X41" s="1456">
        <v>1</v>
      </c>
      <c r="Y41" s="1457">
        <v>1</v>
      </c>
      <c r="Z41" s="1455">
        <v>0</v>
      </c>
      <c r="AA41" s="1456">
        <v>0</v>
      </c>
      <c r="AB41" s="1456">
        <v>0</v>
      </c>
      <c r="AC41" s="1456">
        <v>505.49205074302159</v>
      </c>
      <c r="AD41" s="1456">
        <v>0</v>
      </c>
      <c r="AE41" s="1457">
        <v>0</v>
      </c>
    </row>
    <row r="42" spans="2:31" x14ac:dyDescent="0.2">
      <c r="B42" s="523">
        <v>2027</v>
      </c>
      <c r="C42" s="1419">
        <v>161438.64993857368</v>
      </c>
      <c r="D42" s="1420">
        <v>2005.3299877146783</v>
      </c>
      <c r="E42" s="1420">
        <v>9155.3299877146783</v>
      </c>
      <c r="F42" s="1420">
        <v>459332.32998771465</v>
      </c>
      <c r="G42" s="1420">
        <v>109479.32998771468</v>
      </c>
      <c r="H42" s="1421">
        <v>1000000</v>
      </c>
      <c r="I42" s="1358">
        <f t="shared" si="7"/>
        <v>0</v>
      </c>
      <c r="J42" s="524">
        <f t="shared" si="8"/>
        <v>0</v>
      </c>
      <c r="K42" s="524">
        <f t="shared" si="9"/>
        <v>0</v>
      </c>
      <c r="L42" s="524">
        <f t="shared" si="10"/>
        <v>0</v>
      </c>
      <c r="M42" s="1363">
        <f t="shared" si="11"/>
        <v>0</v>
      </c>
      <c r="N42" s="1440">
        <v>7.5037759176853553</v>
      </c>
      <c r="O42" s="1441">
        <v>7.6410226197784183</v>
      </c>
      <c r="P42" s="1441">
        <v>8.2000653736154518</v>
      </c>
      <c r="Q42" s="1462">
        <v>14.938314231084103</v>
      </c>
      <c r="R42" s="1462">
        <v>9.9256642877398082</v>
      </c>
      <c r="S42" s="1463">
        <v>1</v>
      </c>
      <c r="T42" s="1443">
        <v>1</v>
      </c>
      <c r="U42" s="1444">
        <v>1</v>
      </c>
      <c r="V42" s="1444">
        <v>1</v>
      </c>
      <c r="W42" s="1444">
        <v>1</v>
      </c>
      <c r="X42" s="1444">
        <v>1</v>
      </c>
      <c r="Y42" s="1445">
        <v>1</v>
      </c>
      <c r="Z42" s="1443">
        <v>0</v>
      </c>
      <c r="AA42" s="1444">
        <v>0</v>
      </c>
      <c r="AB42" s="1444">
        <v>0</v>
      </c>
      <c r="AC42" s="1444">
        <v>511.20165898475403</v>
      </c>
      <c r="AD42" s="1444">
        <v>0</v>
      </c>
      <c r="AE42" s="1445">
        <v>0</v>
      </c>
    </row>
    <row r="43" spans="2:31" x14ac:dyDescent="0.2">
      <c r="B43" s="523">
        <v>2028</v>
      </c>
      <c r="C43" s="1419">
        <v>161925.61809378397</v>
      </c>
      <c r="D43" s="1420">
        <v>2201.1991386476466</v>
      </c>
      <c r="E43" s="1420">
        <v>9165.9818765394029</v>
      </c>
      <c r="F43" s="1420">
        <v>407688.73697089049</v>
      </c>
      <c r="G43" s="1420">
        <v>104645.12572423878</v>
      </c>
      <c r="H43" s="1421">
        <v>1000000</v>
      </c>
      <c r="I43" s="1358">
        <f t="shared" si="7"/>
        <v>0</v>
      </c>
      <c r="J43" s="524">
        <f t="shared" si="8"/>
        <v>0</v>
      </c>
      <c r="K43" s="524">
        <f t="shared" si="9"/>
        <v>0</v>
      </c>
      <c r="L43" s="524">
        <f t="shared" si="10"/>
        <v>0</v>
      </c>
      <c r="M43" s="1363">
        <f t="shared" si="11"/>
        <v>0</v>
      </c>
      <c r="N43" s="1440">
        <v>7.6179189540571528</v>
      </c>
      <c r="O43" s="1441">
        <v>7.9313508994189945</v>
      </c>
      <c r="P43" s="1441">
        <v>8.5216184131890618</v>
      </c>
      <c r="Q43" s="1462">
        <v>15.350414684274368</v>
      </c>
      <c r="R43" s="1462">
        <v>10.147600336386622</v>
      </c>
      <c r="S43" s="1463">
        <v>1</v>
      </c>
      <c r="T43" s="1443">
        <v>1</v>
      </c>
      <c r="U43" s="1444">
        <v>1</v>
      </c>
      <c r="V43" s="1444">
        <v>1</v>
      </c>
      <c r="W43" s="1444">
        <v>1</v>
      </c>
      <c r="X43" s="1444">
        <v>1</v>
      </c>
      <c r="Y43" s="1445">
        <v>1</v>
      </c>
      <c r="Z43" s="1443">
        <v>0</v>
      </c>
      <c r="AA43" s="1444">
        <v>0</v>
      </c>
      <c r="AB43" s="1444">
        <v>0</v>
      </c>
      <c r="AC43" s="1444">
        <v>512.13969636103775</v>
      </c>
      <c r="AD43" s="1444">
        <v>0</v>
      </c>
      <c r="AE43" s="1445">
        <v>0</v>
      </c>
    </row>
    <row r="44" spans="2:31" x14ac:dyDescent="0.2">
      <c r="B44" s="523">
        <v>2029</v>
      </c>
      <c r="C44" s="1419">
        <v>162512.84826185249</v>
      </c>
      <c r="D44" s="1420">
        <v>2349.6502863568376</v>
      </c>
      <c r="E44" s="1420">
        <v>9174.0550473974436</v>
      </c>
      <c r="F44" s="1420">
        <v>368547.552059145</v>
      </c>
      <c r="G44" s="1420">
        <v>100981.2349698481</v>
      </c>
      <c r="H44" s="1421">
        <v>1000000</v>
      </c>
      <c r="I44" s="1358">
        <f t="shared" si="7"/>
        <v>0</v>
      </c>
      <c r="J44" s="524">
        <f t="shared" si="8"/>
        <v>0</v>
      </c>
      <c r="K44" s="524">
        <f t="shared" si="9"/>
        <v>0</v>
      </c>
      <c r="L44" s="524">
        <f t="shared" si="10"/>
        <v>0</v>
      </c>
      <c r="M44" s="1363">
        <f t="shared" si="11"/>
        <v>0</v>
      </c>
      <c r="N44" s="1440">
        <v>7.7555629328580205</v>
      </c>
      <c r="O44" s="1441">
        <v>8.1513935458479274</v>
      </c>
      <c r="P44" s="1441">
        <v>8.765326610966552</v>
      </c>
      <c r="Q44" s="1462">
        <v>15.662749653595334</v>
      </c>
      <c r="R44" s="1462">
        <v>10.315807841155648</v>
      </c>
      <c r="S44" s="1463">
        <v>1</v>
      </c>
      <c r="T44" s="1443">
        <v>1</v>
      </c>
      <c r="U44" s="1444">
        <v>1</v>
      </c>
      <c r="V44" s="1444">
        <v>1</v>
      </c>
      <c r="W44" s="1444">
        <v>1</v>
      </c>
      <c r="X44" s="1444">
        <v>1</v>
      </c>
      <c r="Y44" s="1445">
        <v>1</v>
      </c>
      <c r="Z44" s="1443">
        <v>0</v>
      </c>
      <c r="AA44" s="1444">
        <v>0</v>
      </c>
      <c r="AB44" s="1444">
        <v>0</v>
      </c>
      <c r="AC44" s="1444">
        <v>513.07773373732141</v>
      </c>
      <c r="AD44" s="1444">
        <v>0</v>
      </c>
      <c r="AE44" s="1445">
        <v>0</v>
      </c>
    </row>
    <row r="45" spans="2:31" ht="13.5" thickBot="1" x14ac:dyDescent="0.25">
      <c r="B45" s="525">
        <v>2030</v>
      </c>
      <c r="C45" s="1422">
        <v>162980.88423840102</v>
      </c>
      <c r="D45" s="1423">
        <v>2518.770537790489</v>
      </c>
      <c r="E45" s="1423">
        <v>9183.2522594530437</v>
      </c>
      <c r="F45" s="1423">
        <v>323956.67394311365</v>
      </c>
      <c r="G45" s="1423">
        <v>96807.214524941635</v>
      </c>
      <c r="H45" s="1424">
        <v>1000000</v>
      </c>
      <c r="I45" s="1359">
        <f t="shared" si="7"/>
        <v>0</v>
      </c>
      <c r="J45" s="526">
        <f t="shared" si="8"/>
        <v>0</v>
      </c>
      <c r="K45" s="526">
        <f t="shared" si="9"/>
        <v>0</v>
      </c>
      <c r="L45" s="526">
        <f t="shared" si="10"/>
        <v>0</v>
      </c>
      <c r="M45" s="1364">
        <f t="shared" si="11"/>
        <v>0</v>
      </c>
      <c r="N45" s="1446">
        <v>7.8652683559393761</v>
      </c>
      <c r="O45" s="1447">
        <v>8.4020731011389866</v>
      </c>
      <c r="P45" s="1447">
        <v>9.0429667122429134</v>
      </c>
      <c r="Q45" s="1458">
        <v>16.018571547586753</v>
      </c>
      <c r="R45" s="1458">
        <v>10.507435160570463</v>
      </c>
      <c r="S45" s="1459">
        <v>1</v>
      </c>
      <c r="T45" s="1449">
        <v>1</v>
      </c>
      <c r="U45" s="1450">
        <v>1</v>
      </c>
      <c r="V45" s="1450">
        <v>1</v>
      </c>
      <c r="W45" s="1450">
        <v>1</v>
      </c>
      <c r="X45" s="1450">
        <v>1</v>
      </c>
      <c r="Y45" s="1451">
        <v>1</v>
      </c>
      <c r="Z45" s="1449">
        <v>0</v>
      </c>
      <c r="AA45" s="1450">
        <v>0</v>
      </c>
      <c r="AB45" s="1450">
        <v>0</v>
      </c>
      <c r="AC45" s="1450">
        <v>514.01577111360507</v>
      </c>
      <c r="AD45" s="1450">
        <v>0</v>
      </c>
      <c r="AE45" s="1451">
        <v>0</v>
      </c>
    </row>
    <row r="46" spans="2:31" x14ac:dyDescent="0.2">
      <c r="B46" s="527">
        <v>2031</v>
      </c>
      <c r="C46" s="1425">
        <v>163384.93715879397</v>
      </c>
      <c r="D46" s="1426">
        <v>2658.1155637144275</v>
      </c>
      <c r="E46" s="1426">
        <v>9190.8302150287436</v>
      </c>
      <c r="F46" s="1426">
        <v>287216.44316426408</v>
      </c>
      <c r="G46" s="1426">
        <v>93368.06999806207</v>
      </c>
      <c r="H46" s="1427">
        <v>1000000</v>
      </c>
      <c r="I46" s="1357">
        <f t="shared" si="7"/>
        <v>0</v>
      </c>
      <c r="J46" s="528">
        <f t="shared" si="8"/>
        <v>0</v>
      </c>
      <c r="K46" s="528">
        <f t="shared" si="9"/>
        <v>0</v>
      </c>
      <c r="L46" s="528">
        <f t="shared" si="10"/>
        <v>0</v>
      </c>
      <c r="M46" s="1362">
        <f t="shared" si="11"/>
        <v>0</v>
      </c>
      <c r="N46" s="1452">
        <v>7.9599764527524544</v>
      </c>
      <c r="O46" s="1453">
        <v>8.6086181413368354</v>
      </c>
      <c r="P46" s="1453">
        <v>9.2717256384029589</v>
      </c>
      <c r="Q46" s="1460">
        <v>16.31174761977341</v>
      </c>
      <c r="R46" s="1460">
        <v>10.665324671526328</v>
      </c>
      <c r="S46" s="1461">
        <v>1</v>
      </c>
      <c r="T46" s="1455">
        <v>1</v>
      </c>
      <c r="U46" s="1456">
        <v>1</v>
      </c>
      <c r="V46" s="1456">
        <v>1</v>
      </c>
      <c r="W46" s="1456">
        <v>1</v>
      </c>
      <c r="X46" s="1456">
        <v>1</v>
      </c>
      <c r="Y46" s="1457">
        <v>1</v>
      </c>
      <c r="Z46" s="1455">
        <v>0</v>
      </c>
      <c r="AA46" s="1456">
        <v>0</v>
      </c>
      <c r="AB46" s="1456">
        <v>0</v>
      </c>
      <c r="AC46" s="1456">
        <v>514.95380848988873</v>
      </c>
      <c r="AD46" s="1456">
        <v>0</v>
      </c>
      <c r="AE46" s="1457">
        <v>0</v>
      </c>
    </row>
    <row r="47" spans="2:31" x14ac:dyDescent="0.2">
      <c r="B47" s="523">
        <v>2032</v>
      </c>
      <c r="C47" s="1419">
        <v>163647.29087656995</v>
      </c>
      <c r="D47" s="1426">
        <v>2745.4057496023306</v>
      </c>
      <c r="E47" s="1426">
        <v>9195.5772890377884</v>
      </c>
      <c r="F47" s="1426">
        <v>264201.18622928811</v>
      </c>
      <c r="G47" s="1426">
        <v>91213.679749424511</v>
      </c>
      <c r="H47" s="1427">
        <v>1000000</v>
      </c>
      <c r="I47" s="1358">
        <f t="shared" si="7"/>
        <v>0</v>
      </c>
      <c r="J47" s="529">
        <f t="shared" si="8"/>
        <v>0</v>
      </c>
      <c r="K47" s="524">
        <f t="shared" si="9"/>
        <v>0</v>
      </c>
      <c r="L47" s="529">
        <f t="shared" si="10"/>
        <v>0</v>
      </c>
      <c r="M47" s="1363">
        <f t="shared" si="11"/>
        <v>0</v>
      </c>
      <c r="N47" s="1452">
        <v>8.0214709255018093</v>
      </c>
      <c r="O47" s="1441">
        <v>8.7380045678242517</v>
      </c>
      <c r="P47" s="1441">
        <v>9.4150275543172555</v>
      </c>
      <c r="Q47" s="1462">
        <v>16.49540249851324</v>
      </c>
      <c r="R47" s="1462">
        <v>10.764231716608874</v>
      </c>
      <c r="S47" s="1463">
        <v>1</v>
      </c>
      <c r="T47" s="1455">
        <v>1</v>
      </c>
      <c r="U47" s="1456">
        <v>1</v>
      </c>
      <c r="V47" s="1456">
        <v>1</v>
      </c>
      <c r="W47" s="1456">
        <v>1</v>
      </c>
      <c r="X47" s="1456">
        <v>1</v>
      </c>
      <c r="Y47" s="1457">
        <v>1</v>
      </c>
      <c r="Z47" s="1455">
        <v>0</v>
      </c>
      <c r="AA47" s="1456">
        <v>0</v>
      </c>
      <c r="AB47" s="1456">
        <v>0</v>
      </c>
      <c r="AC47" s="1456">
        <v>515.89184586617239</v>
      </c>
      <c r="AD47" s="1456">
        <v>0</v>
      </c>
      <c r="AE47" s="1457">
        <v>0</v>
      </c>
    </row>
    <row r="48" spans="2:31" x14ac:dyDescent="0.2">
      <c r="B48" s="523">
        <v>2033</v>
      </c>
      <c r="C48" s="1419">
        <v>163724.32308695698</v>
      </c>
      <c r="D48" s="1426">
        <v>2791.0683631348884</v>
      </c>
      <c r="E48" s="1426">
        <v>9198.060544213391</v>
      </c>
      <c r="F48" s="1426">
        <v>252161.61073652987</v>
      </c>
      <c r="G48" s="1426">
        <v>90086.690634655271</v>
      </c>
      <c r="H48" s="1427">
        <v>1000000</v>
      </c>
      <c r="I48" s="1358">
        <f t="shared" si="7"/>
        <v>0</v>
      </c>
      <c r="J48" s="524">
        <f t="shared" si="8"/>
        <v>0</v>
      </c>
      <c r="K48" s="524">
        <f t="shared" si="9"/>
        <v>0</v>
      </c>
      <c r="L48" s="524">
        <f t="shared" si="10"/>
        <v>0</v>
      </c>
      <c r="M48" s="1363">
        <f t="shared" si="11"/>
        <v>0</v>
      </c>
      <c r="N48" s="1452">
        <v>8.0395269119106274</v>
      </c>
      <c r="O48" s="1441">
        <v>8.8056882636367533</v>
      </c>
      <c r="P48" s="1441">
        <v>9.4899906207640683</v>
      </c>
      <c r="Q48" s="1462">
        <v>16.591474716322868</v>
      </c>
      <c r="R48" s="1462">
        <v>10.815971257879315</v>
      </c>
      <c r="S48" s="1463">
        <v>1</v>
      </c>
      <c r="T48" s="1455">
        <v>1</v>
      </c>
      <c r="U48" s="1456">
        <v>1</v>
      </c>
      <c r="V48" s="1456">
        <v>1</v>
      </c>
      <c r="W48" s="1456">
        <v>1</v>
      </c>
      <c r="X48" s="1456">
        <v>1</v>
      </c>
      <c r="Y48" s="1457">
        <v>1</v>
      </c>
      <c r="Z48" s="1455">
        <v>0</v>
      </c>
      <c r="AA48" s="1456">
        <v>0</v>
      </c>
      <c r="AB48" s="1456">
        <v>0</v>
      </c>
      <c r="AC48" s="1456">
        <v>516.82988324245605</v>
      </c>
      <c r="AD48" s="1456">
        <v>0</v>
      </c>
      <c r="AE48" s="1457">
        <v>0</v>
      </c>
    </row>
    <row r="49" spans="2:31" x14ac:dyDescent="0.2">
      <c r="B49" s="523">
        <v>2034</v>
      </c>
      <c r="C49" s="1419">
        <v>163799.77124309973</v>
      </c>
      <c r="D49" s="1426">
        <v>2812.7182149636487</v>
      </c>
      <c r="E49" s="1426">
        <v>9199.2379211186017</v>
      </c>
      <c r="F49" s="1426">
        <v>246453.3298184094</v>
      </c>
      <c r="G49" s="1426">
        <v>89552.35531173335</v>
      </c>
      <c r="H49" s="1427">
        <v>1000000</v>
      </c>
      <c r="I49" s="1358">
        <f t="shared" si="7"/>
        <v>0</v>
      </c>
      <c r="J49" s="524">
        <f t="shared" si="8"/>
        <v>0</v>
      </c>
      <c r="K49" s="524">
        <f t="shared" si="9"/>
        <v>0</v>
      </c>
      <c r="L49" s="524">
        <f t="shared" si="10"/>
        <v>0</v>
      </c>
      <c r="M49" s="1363">
        <f t="shared" si="11"/>
        <v>0</v>
      </c>
      <c r="N49" s="1452">
        <v>8.0572116034836725</v>
      </c>
      <c r="O49" s="1441">
        <v>8.8377788925386387</v>
      </c>
      <c r="P49" s="1441">
        <v>9.5255325916599247</v>
      </c>
      <c r="Q49" s="1462">
        <v>16.637025093743905</v>
      </c>
      <c r="R49" s="1462">
        <v>10.840502341747179</v>
      </c>
      <c r="S49" s="1463">
        <v>1</v>
      </c>
      <c r="T49" s="1455">
        <v>1</v>
      </c>
      <c r="U49" s="1456">
        <v>1</v>
      </c>
      <c r="V49" s="1456">
        <v>1</v>
      </c>
      <c r="W49" s="1456">
        <v>1</v>
      </c>
      <c r="X49" s="1456">
        <v>1</v>
      </c>
      <c r="Y49" s="1457">
        <v>1</v>
      </c>
      <c r="Z49" s="1455">
        <v>0</v>
      </c>
      <c r="AA49" s="1456">
        <v>0</v>
      </c>
      <c r="AB49" s="1456">
        <v>0</v>
      </c>
      <c r="AC49" s="1456">
        <v>517.76792061873971</v>
      </c>
      <c r="AD49" s="1456">
        <v>0</v>
      </c>
      <c r="AE49" s="1457">
        <v>0</v>
      </c>
    </row>
    <row r="50" spans="2:31" ht="13.5" thickBot="1" x14ac:dyDescent="0.25">
      <c r="B50" s="530">
        <v>2035</v>
      </c>
      <c r="C50" s="1428">
        <v>163848.29249390995</v>
      </c>
      <c r="D50" s="1429">
        <v>2830.1879733511887</v>
      </c>
      <c r="E50" s="1429">
        <v>9200.1879733511887</v>
      </c>
      <c r="F50" s="1429">
        <v>241847.18797335122</v>
      </c>
      <c r="G50" s="1429">
        <v>89121.187973351189</v>
      </c>
      <c r="H50" s="1430">
        <v>1000000</v>
      </c>
      <c r="I50" s="1360">
        <f t="shared" si="7"/>
        <v>0</v>
      </c>
      <c r="J50" s="531">
        <f t="shared" si="8"/>
        <v>0</v>
      </c>
      <c r="K50" s="531">
        <f t="shared" si="9"/>
        <v>0</v>
      </c>
      <c r="L50" s="531">
        <f t="shared" si="10"/>
        <v>0</v>
      </c>
      <c r="M50" s="1365">
        <f t="shared" si="11"/>
        <v>0</v>
      </c>
      <c r="N50" s="1464">
        <v>8.0685847555815613</v>
      </c>
      <c r="O50" s="1447">
        <v>8.8636735516732301</v>
      </c>
      <c r="P50" s="1447">
        <v>9.5542122172332906</v>
      </c>
      <c r="Q50" s="1458">
        <v>16.673780730424504</v>
      </c>
      <c r="R50" s="1458">
        <v>10.860297031870036</v>
      </c>
      <c r="S50" s="1459">
        <v>1</v>
      </c>
      <c r="T50" s="1465">
        <v>1</v>
      </c>
      <c r="U50" s="1466">
        <v>1</v>
      </c>
      <c r="V50" s="1466">
        <v>1</v>
      </c>
      <c r="W50" s="1466">
        <v>1</v>
      </c>
      <c r="X50" s="1466">
        <v>1</v>
      </c>
      <c r="Y50" s="1467">
        <v>1</v>
      </c>
      <c r="Z50" s="1465">
        <v>0</v>
      </c>
      <c r="AA50" s="1466">
        <v>0</v>
      </c>
      <c r="AB50" s="1466">
        <v>0</v>
      </c>
      <c r="AC50" s="1466">
        <v>518.7059579950236</v>
      </c>
      <c r="AD50" s="1466">
        <v>0</v>
      </c>
      <c r="AE50" s="1467">
        <v>0</v>
      </c>
    </row>
    <row r="51" spans="2:31" x14ac:dyDescent="0.2">
      <c r="B51" s="532">
        <v>2036</v>
      </c>
      <c r="C51" s="1416">
        <v>163848.29249390995</v>
      </c>
      <c r="D51" s="1417">
        <v>3020.2713817262761</v>
      </c>
      <c r="E51" s="1417">
        <v>9306.4725196387062</v>
      </c>
      <c r="F51" s="1417">
        <v>234483.13057479609</v>
      </c>
      <c r="G51" s="1417">
        <v>86768.041239421364</v>
      </c>
      <c r="H51" s="1418">
        <v>1000000</v>
      </c>
      <c r="I51" s="1361">
        <f t="shared" si="7"/>
        <v>0</v>
      </c>
      <c r="J51" s="533">
        <f t="shared" si="8"/>
        <v>0</v>
      </c>
      <c r="K51" s="533">
        <f t="shared" si="9"/>
        <v>0</v>
      </c>
      <c r="L51" s="533">
        <f t="shared" si="10"/>
        <v>0</v>
      </c>
      <c r="M51" s="1366">
        <f t="shared" si="11"/>
        <v>0</v>
      </c>
      <c r="N51" s="1434">
        <v>8.0827348383128879</v>
      </c>
      <c r="O51" s="1435">
        <v>8.943638792492921</v>
      </c>
      <c r="P51" s="1435">
        <v>9.6888543211359899</v>
      </c>
      <c r="Q51" s="1468">
        <v>16.921158157944486</v>
      </c>
      <c r="R51" s="1468">
        <v>11.039725067293004</v>
      </c>
      <c r="S51" s="1469">
        <v>1</v>
      </c>
      <c r="T51" s="1437">
        <v>1</v>
      </c>
      <c r="U51" s="1438">
        <v>1</v>
      </c>
      <c r="V51" s="1438">
        <v>1</v>
      </c>
      <c r="W51" s="1438">
        <v>1</v>
      </c>
      <c r="X51" s="1438">
        <v>1</v>
      </c>
      <c r="Y51" s="1439">
        <v>1</v>
      </c>
      <c r="Z51" s="1437">
        <v>0</v>
      </c>
      <c r="AA51" s="1438">
        <v>0</v>
      </c>
      <c r="AB51" s="1438">
        <v>0</v>
      </c>
      <c r="AC51" s="1438">
        <v>520.5296743194275</v>
      </c>
      <c r="AD51" s="1438">
        <v>0</v>
      </c>
      <c r="AE51" s="1439">
        <v>0</v>
      </c>
    </row>
    <row r="52" spans="2:31" x14ac:dyDescent="0.2">
      <c r="B52" s="523">
        <v>2037</v>
      </c>
      <c r="C52" s="1419">
        <v>163848.29249390995</v>
      </c>
      <c r="D52" s="1420">
        <v>3136.1731780005457</v>
      </c>
      <c r="E52" s="1420">
        <v>9371.2786483598993</v>
      </c>
      <c r="F52" s="1420">
        <v>229992.95708908531</v>
      </c>
      <c r="G52" s="1420">
        <v>85333.229355044721</v>
      </c>
      <c r="H52" s="1421">
        <v>1000000</v>
      </c>
      <c r="I52" s="1358">
        <f t="shared" si="7"/>
        <v>0</v>
      </c>
      <c r="J52" s="524">
        <f t="shared" si="8"/>
        <v>0</v>
      </c>
      <c r="K52" s="524">
        <f t="shared" si="9"/>
        <v>0</v>
      </c>
      <c r="L52" s="524">
        <f t="shared" si="10"/>
        <v>0</v>
      </c>
      <c r="M52" s="1363">
        <f t="shared" si="11"/>
        <v>0</v>
      </c>
      <c r="N52" s="1440">
        <v>8.0946677445201622</v>
      </c>
      <c r="O52" s="1441">
        <v>8.992396940980127</v>
      </c>
      <c r="P52" s="1441">
        <v>9.7709512375889833</v>
      </c>
      <c r="Q52" s="1462">
        <v>17.071994511587182</v>
      </c>
      <c r="R52" s="1462">
        <v>11.149129837468676</v>
      </c>
      <c r="S52" s="1463">
        <v>1</v>
      </c>
      <c r="T52" s="1443">
        <v>1</v>
      </c>
      <c r="U52" s="1444">
        <v>1</v>
      </c>
      <c r="V52" s="1444">
        <v>1</v>
      </c>
      <c r="W52" s="1444">
        <v>1</v>
      </c>
      <c r="X52" s="1444">
        <v>1</v>
      </c>
      <c r="Y52" s="1445">
        <v>1</v>
      </c>
      <c r="Z52" s="1443">
        <v>0</v>
      </c>
      <c r="AA52" s="1444">
        <v>0</v>
      </c>
      <c r="AB52" s="1444">
        <v>0</v>
      </c>
      <c r="AC52" s="1444">
        <v>522.3533906438314</v>
      </c>
      <c r="AD52" s="1444">
        <v>0</v>
      </c>
      <c r="AE52" s="1445">
        <v>0</v>
      </c>
    </row>
    <row r="53" spans="2:31" x14ac:dyDescent="0.2">
      <c r="B53" s="523">
        <v>2038</v>
      </c>
      <c r="C53" s="1419">
        <v>163848.29249390995</v>
      </c>
      <c r="D53" s="1420">
        <v>3315.7455047807161</v>
      </c>
      <c r="E53" s="1420">
        <v>9471.685956082214</v>
      </c>
      <c r="F53" s="1420">
        <v>223036.11149742885</v>
      </c>
      <c r="G53" s="1420">
        <v>83110.205063344809</v>
      </c>
      <c r="H53" s="1421">
        <v>1000000</v>
      </c>
      <c r="I53" s="1358">
        <f t="shared" si="7"/>
        <v>0</v>
      </c>
      <c r="J53" s="524">
        <f t="shared" si="8"/>
        <v>0</v>
      </c>
      <c r="K53" s="524">
        <f t="shared" si="9"/>
        <v>0</v>
      </c>
      <c r="L53" s="524">
        <f t="shared" si="10"/>
        <v>0</v>
      </c>
      <c r="M53" s="1363">
        <f t="shared" si="11"/>
        <v>0</v>
      </c>
      <c r="N53" s="1440">
        <v>8.1005862254693923</v>
      </c>
      <c r="O53" s="1441">
        <v>9.0679403273192083</v>
      </c>
      <c r="P53" s="1441">
        <v>9.8981480091908214</v>
      </c>
      <c r="Q53" s="1462">
        <v>17.305692658271287</v>
      </c>
      <c r="R53" s="1462">
        <v>11.318636003661346</v>
      </c>
      <c r="S53" s="1463">
        <v>1</v>
      </c>
      <c r="T53" s="1443">
        <v>1</v>
      </c>
      <c r="U53" s="1444">
        <v>1</v>
      </c>
      <c r="V53" s="1444">
        <v>1</v>
      </c>
      <c r="W53" s="1444">
        <v>1</v>
      </c>
      <c r="X53" s="1444">
        <v>1</v>
      </c>
      <c r="Y53" s="1445">
        <v>1</v>
      </c>
      <c r="Z53" s="1443">
        <v>0</v>
      </c>
      <c r="AA53" s="1444">
        <v>0</v>
      </c>
      <c r="AB53" s="1444">
        <v>0</v>
      </c>
      <c r="AC53" s="1444">
        <v>524.17710696823531</v>
      </c>
      <c r="AD53" s="1444">
        <v>0</v>
      </c>
      <c r="AE53" s="1445">
        <v>0</v>
      </c>
    </row>
    <row r="54" spans="2:31" x14ac:dyDescent="0.2">
      <c r="B54" s="523">
        <v>2039</v>
      </c>
      <c r="C54" s="1419">
        <v>163848.29249390995</v>
      </c>
      <c r="D54" s="1420">
        <v>3584.1033947684814</v>
      </c>
      <c r="E54" s="1420">
        <v>9621.7374351873405</v>
      </c>
      <c r="F54" s="1420">
        <v>212639.60755151126</v>
      </c>
      <c r="G54" s="1420">
        <v>79788.055604077366</v>
      </c>
      <c r="H54" s="1421">
        <v>1000000</v>
      </c>
      <c r="I54" s="1358">
        <f t="shared" si="7"/>
        <v>0</v>
      </c>
      <c r="J54" s="524">
        <f t="shared" si="8"/>
        <v>0</v>
      </c>
      <c r="K54" s="524">
        <f t="shared" si="9"/>
        <v>0</v>
      </c>
      <c r="L54" s="524">
        <f t="shared" si="10"/>
        <v>0</v>
      </c>
      <c r="M54" s="1363">
        <f t="shared" si="11"/>
        <v>0</v>
      </c>
      <c r="N54" s="1440">
        <v>8.1041670415640823</v>
      </c>
      <c r="O54" s="1441">
        <v>9.1808344693286497</v>
      </c>
      <c r="P54" s="1441">
        <v>10.088234409764738</v>
      </c>
      <c r="Q54" s="1462">
        <v>17.654937682060353</v>
      </c>
      <c r="R54" s="1462">
        <v>11.571950742713911</v>
      </c>
      <c r="S54" s="1463">
        <v>1</v>
      </c>
      <c r="T54" s="1443">
        <v>1</v>
      </c>
      <c r="U54" s="1444">
        <v>1</v>
      </c>
      <c r="V54" s="1444">
        <v>1</v>
      </c>
      <c r="W54" s="1444">
        <v>1</v>
      </c>
      <c r="X54" s="1444">
        <v>1</v>
      </c>
      <c r="Y54" s="1445">
        <v>1</v>
      </c>
      <c r="Z54" s="1443">
        <v>0</v>
      </c>
      <c r="AA54" s="1444">
        <v>0</v>
      </c>
      <c r="AB54" s="1444">
        <v>0</v>
      </c>
      <c r="AC54" s="1444">
        <v>526.00082329263921</v>
      </c>
      <c r="AD54" s="1444">
        <v>0</v>
      </c>
      <c r="AE54" s="1445">
        <v>0</v>
      </c>
    </row>
    <row r="55" spans="2:31" ht="13.5" thickBot="1" x14ac:dyDescent="0.25">
      <c r="B55" s="525">
        <v>2040</v>
      </c>
      <c r="C55" s="1422">
        <v>163848.29249390995</v>
      </c>
      <c r="D55" s="1423">
        <v>3964.2659649943262</v>
      </c>
      <c r="E55" s="1423">
        <v>9834.3041533315063</v>
      </c>
      <c r="F55" s="1423">
        <v>197911.65726980605</v>
      </c>
      <c r="G55" s="1423">
        <v>75081.814706270758</v>
      </c>
      <c r="H55" s="1424">
        <v>1000000</v>
      </c>
      <c r="I55" s="1359">
        <f t="shared" si="7"/>
        <v>0</v>
      </c>
      <c r="J55" s="526">
        <f t="shared" si="8"/>
        <v>0</v>
      </c>
      <c r="K55" s="526">
        <f t="shared" si="9"/>
        <v>0</v>
      </c>
      <c r="L55" s="526">
        <f t="shared" si="10"/>
        <v>0</v>
      </c>
      <c r="M55" s="1364">
        <f t="shared" si="11"/>
        <v>0</v>
      </c>
      <c r="N55" s="1446">
        <v>8.1043325932001693</v>
      </c>
      <c r="O55" s="1447">
        <v>9.3407631645188953</v>
      </c>
      <c r="P55" s="1447">
        <v>10.357515609622332</v>
      </c>
      <c r="Q55" s="1458">
        <v>18.149687010609217</v>
      </c>
      <c r="R55" s="1458">
        <v>11.930802805079965</v>
      </c>
      <c r="S55" s="1459">
        <v>1</v>
      </c>
      <c r="T55" s="1449">
        <v>1</v>
      </c>
      <c r="U55" s="1450">
        <v>1</v>
      </c>
      <c r="V55" s="1450">
        <v>1</v>
      </c>
      <c r="W55" s="1450">
        <v>1</v>
      </c>
      <c r="X55" s="1450">
        <v>1</v>
      </c>
      <c r="Y55" s="1451">
        <v>1</v>
      </c>
      <c r="Z55" s="1449">
        <v>0</v>
      </c>
      <c r="AA55" s="1450">
        <v>0</v>
      </c>
      <c r="AB55" s="1450">
        <v>0</v>
      </c>
      <c r="AC55" s="1450">
        <v>527.82453961704311</v>
      </c>
      <c r="AD55" s="1450">
        <v>0</v>
      </c>
      <c r="AE55" s="1451">
        <v>0</v>
      </c>
    </row>
    <row r="56" spans="2:31" x14ac:dyDescent="0.2">
      <c r="B56" s="532">
        <v>2041</v>
      </c>
      <c r="C56" s="1416">
        <v>163848.29249390995</v>
      </c>
      <c r="D56" s="1417">
        <v>4463.9380843060389</v>
      </c>
      <c r="E56" s="1417">
        <v>10113.694263954798</v>
      </c>
      <c r="F56" s="1417">
        <v>178553.76486602385</v>
      </c>
      <c r="G56" s="1417">
        <v>68896.099573922285</v>
      </c>
      <c r="H56" s="1418">
        <v>1000000</v>
      </c>
      <c r="I56" s="1361">
        <f t="shared" si="7"/>
        <v>0</v>
      </c>
      <c r="J56" s="533">
        <f t="shared" si="8"/>
        <v>0</v>
      </c>
      <c r="K56" s="533">
        <f t="shared" si="9"/>
        <v>0</v>
      </c>
      <c r="L56" s="533">
        <f t="shared" si="10"/>
        <v>0</v>
      </c>
      <c r="M56" s="1366">
        <f t="shared" si="11"/>
        <v>0</v>
      </c>
      <c r="N56" s="1434">
        <v>8.1043630004564644</v>
      </c>
      <c r="O56" s="1453">
        <v>9.5509677357290315</v>
      </c>
      <c r="P56" s="1453">
        <v>10.711449211617168</v>
      </c>
      <c r="Q56" s="1453">
        <v>18.799967876969088</v>
      </c>
      <c r="R56" s="1453">
        <v>12.40246515315201</v>
      </c>
      <c r="S56" s="1454">
        <v>1</v>
      </c>
      <c r="T56" s="1437">
        <v>1</v>
      </c>
      <c r="U56" s="1438">
        <v>1</v>
      </c>
      <c r="V56" s="1438">
        <v>1</v>
      </c>
      <c r="W56" s="1438">
        <v>1</v>
      </c>
      <c r="X56" s="1438">
        <v>1</v>
      </c>
      <c r="Y56" s="1439">
        <v>1</v>
      </c>
      <c r="Z56" s="1437">
        <v>0</v>
      </c>
      <c r="AA56" s="1438">
        <v>0</v>
      </c>
      <c r="AB56" s="1438">
        <v>0</v>
      </c>
      <c r="AC56" s="1438">
        <v>529.64825594144702</v>
      </c>
      <c r="AD56" s="1438">
        <v>0</v>
      </c>
      <c r="AE56" s="1439">
        <v>0</v>
      </c>
    </row>
    <row r="57" spans="2:31" x14ac:dyDescent="0.2">
      <c r="B57" s="523">
        <v>2042</v>
      </c>
      <c r="C57" s="1419">
        <v>163848.29249390995</v>
      </c>
      <c r="D57" s="1420">
        <v>5059.7599762635509</v>
      </c>
      <c r="E57" s="1420">
        <v>10446.846220752168</v>
      </c>
      <c r="F57" s="1420">
        <v>155470.91587252976</v>
      </c>
      <c r="G57" s="1420">
        <v>61520.093687616529</v>
      </c>
      <c r="H57" s="1421">
        <v>1000000</v>
      </c>
      <c r="I57" s="1358">
        <f t="shared" si="7"/>
        <v>0</v>
      </c>
      <c r="J57" s="524">
        <f t="shared" si="8"/>
        <v>0</v>
      </c>
      <c r="K57" s="524">
        <f t="shared" si="9"/>
        <v>0</v>
      </c>
      <c r="L57" s="524">
        <f t="shared" si="10"/>
        <v>0</v>
      </c>
      <c r="M57" s="1363">
        <f t="shared" si="11"/>
        <v>0</v>
      </c>
      <c r="N57" s="1440">
        <v>8.1043847804208973</v>
      </c>
      <c r="O57" s="1441">
        <v>9.8016210751410089</v>
      </c>
      <c r="P57" s="1441">
        <v>11.133488745578724</v>
      </c>
      <c r="Q57" s="1441">
        <v>19.575379514168326</v>
      </c>
      <c r="R57" s="1441">
        <v>12.964887473173619</v>
      </c>
      <c r="S57" s="1442">
        <v>1</v>
      </c>
      <c r="T57" s="1443">
        <v>1</v>
      </c>
      <c r="U57" s="1444">
        <v>1</v>
      </c>
      <c r="V57" s="1444">
        <v>1</v>
      </c>
      <c r="W57" s="1444">
        <v>1</v>
      </c>
      <c r="X57" s="1444">
        <v>1</v>
      </c>
      <c r="Y57" s="1445">
        <v>1</v>
      </c>
      <c r="Z57" s="1443">
        <v>0</v>
      </c>
      <c r="AA57" s="1444">
        <v>0</v>
      </c>
      <c r="AB57" s="1444">
        <v>0</v>
      </c>
      <c r="AC57" s="1444">
        <v>531.47197226585092</v>
      </c>
      <c r="AD57" s="1444">
        <v>0</v>
      </c>
      <c r="AE57" s="1445">
        <v>0</v>
      </c>
    </row>
    <row r="58" spans="2:31" x14ac:dyDescent="0.2">
      <c r="B58" s="523">
        <v>2043</v>
      </c>
      <c r="C58" s="1419">
        <v>163848.29249390995</v>
      </c>
      <c r="D58" s="1420">
        <v>5693.0150934260564</v>
      </c>
      <c r="E58" s="1420">
        <v>10800.928848937441</v>
      </c>
      <c r="F58" s="1420">
        <v>130937.8591971601</v>
      </c>
      <c r="G58" s="1420">
        <v>53680.681382073082</v>
      </c>
      <c r="H58" s="1421">
        <v>1000000</v>
      </c>
      <c r="I58" s="1358">
        <f t="shared" si="7"/>
        <v>0</v>
      </c>
      <c r="J58" s="524">
        <f t="shared" si="8"/>
        <v>0</v>
      </c>
      <c r="K58" s="524">
        <f t="shared" si="9"/>
        <v>0</v>
      </c>
      <c r="L58" s="524">
        <f t="shared" si="10"/>
        <v>0</v>
      </c>
      <c r="M58" s="1363">
        <f t="shared" si="11"/>
        <v>0</v>
      </c>
      <c r="N58" s="1440">
        <v>8.1044016873015927</v>
      </c>
      <c r="O58" s="1441">
        <v>10.06802201132518</v>
      </c>
      <c r="P58" s="1441">
        <v>11.582043419607206</v>
      </c>
      <c r="Q58" s="1441">
        <v>20.399507317781811</v>
      </c>
      <c r="R58" s="1441">
        <v>13.562644650221907</v>
      </c>
      <c r="S58" s="1442">
        <v>1</v>
      </c>
      <c r="T58" s="1443">
        <v>1</v>
      </c>
      <c r="U58" s="1444">
        <v>1</v>
      </c>
      <c r="V58" s="1444">
        <v>1</v>
      </c>
      <c r="W58" s="1444">
        <v>1</v>
      </c>
      <c r="X58" s="1444">
        <v>1</v>
      </c>
      <c r="Y58" s="1445">
        <v>1</v>
      </c>
      <c r="Z58" s="1443">
        <v>0</v>
      </c>
      <c r="AA58" s="1444">
        <v>0</v>
      </c>
      <c r="AB58" s="1444">
        <v>0</v>
      </c>
      <c r="AC58" s="1444">
        <v>533.29568859025483</v>
      </c>
      <c r="AD58" s="1444">
        <v>0</v>
      </c>
      <c r="AE58" s="1445">
        <v>0</v>
      </c>
    </row>
    <row r="59" spans="2:31" x14ac:dyDescent="0.2">
      <c r="B59" s="523">
        <v>2044</v>
      </c>
      <c r="C59" s="1419">
        <v>163848.29249390995</v>
      </c>
      <c r="D59" s="1420">
        <v>6288.8369853835684</v>
      </c>
      <c r="E59" s="1420">
        <v>11134.080805734813</v>
      </c>
      <c r="F59" s="1420">
        <v>107855.010203666</v>
      </c>
      <c r="G59" s="1420">
        <v>46304.675495767347</v>
      </c>
      <c r="H59" s="1421">
        <v>1000000</v>
      </c>
      <c r="I59" s="1358">
        <f t="shared" si="7"/>
        <v>0</v>
      </c>
      <c r="J59" s="524">
        <f t="shared" si="8"/>
        <v>0</v>
      </c>
      <c r="K59" s="524">
        <f t="shared" si="9"/>
        <v>0</v>
      </c>
      <c r="L59" s="524">
        <f t="shared" si="10"/>
        <v>0</v>
      </c>
      <c r="M59" s="1363">
        <f t="shared" si="11"/>
        <v>0</v>
      </c>
      <c r="N59" s="1440">
        <v>8.1044204062362173</v>
      </c>
      <c r="O59" s="1441">
        <v>10.318675350737157</v>
      </c>
      <c r="P59" s="1441">
        <v>12.004082953568762</v>
      </c>
      <c r="Q59" s="1441">
        <v>21.174918954981049</v>
      </c>
      <c r="R59" s="1441">
        <v>14.125066970243514</v>
      </c>
      <c r="S59" s="1442">
        <v>1</v>
      </c>
      <c r="T59" s="1443">
        <v>1</v>
      </c>
      <c r="U59" s="1444">
        <v>1</v>
      </c>
      <c r="V59" s="1444">
        <v>1</v>
      </c>
      <c r="W59" s="1444">
        <v>1</v>
      </c>
      <c r="X59" s="1444">
        <v>1</v>
      </c>
      <c r="Y59" s="1445">
        <v>1</v>
      </c>
      <c r="Z59" s="1443">
        <v>0</v>
      </c>
      <c r="AA59" s="1444">
        <v>0</v>
      </c>
      <c r="AB59" s="1444">
        <v>0</v>
      </c>
      <c r="AC59" s="1444">
        <v>535.11940491465873</v>
      </c>
      <c r="AD59" s="1444">
        <v>0</v>
      </c>
      <c r="AE59" s="1445">
        <v>0</v>
      </c>
    </row>
    <row r="60" spans="2:31" ht="13.5" thickBot="1" x14ac:dyDescent="0.25">
      <c r="B60" s="525">
        <v>2045</v>
      </c>
      <c r="C60" s="1422">
        <v>163848.29249390995</v>
      </c>
      <c r="D60" s="1423">
        <v>6788.5091046952857</v>
      </c>
      <c r="E60" s="1423">
        <v>11413.470916358103</v>
      </c>
      <c r="F60" s="1423">
        <v>88497.117799883708</v>
      </c>
      <c r="G60" s="1423">
        <v>40118.960363418861</v>
      </c>
      <c r="H60" s="1424">
        <v>1000000</v>
      </c>
      <c r="I60" s="1359">
        <f t="shared" si="7"/>
        <v>0</v>
      </c>
      <c r="J60" s="526">
        <f t="shared" si="8"/>
        <v>0</v>
      </c>
      <c r="K60" s="526">
        <f t="shared" si="9"/>
        <v>0</v>
      </c>
      <c r="L60" s="526">
        <f t="shared" si="10"/>
        <v>0</v>
      </c>
      <c r="M60" s="1364">
        <f t="shared" si="11"/>
        <v>0</v>
      </c>
      <c r="N60" s="1446">
        <v>8.1044311458601701</v>
      </c>
      <c r="O60" s="1447">
        <v>10.528879921947295</v>
      </c>
      <c r="P60" s="1447">
        <v>12.358016555563596</v>
      </c>
      <c r="Q60" s="1447">
        <v>21.825199821340924</v>
      </c>
      <c r="R60" s="1447">
        <v>14.59672931831556</v>
      </c>
      <c r="S60" s="1448">
        <v>1</v>
      </c>
      <c r="T60" s="1449">
        <v>1</v>
      </c>
      <c r="U60" s="1450">
        <v>1</v>
      </c>
      <c r="V60" s="1450">
        <v>1</v>
      </c>
      <c r="W60" s="1450">
        <v>1</v>
      </c>
      <c r="X60" s="1450">
        <v>1</v>
      </c>
      <c r="Y60" s="1451">
        <v>1</v>
      </c>
      <c r="Z60" s="1449">
        <v>0</v>
      </c>
      <c r="AA60" s="1450">
        <v>0</v>
      </c>
      <c r="AB60" s="1450">
        <v>0</v>
      </c>
      <c r="AC60" s="1450">
        <v>536.94312123906263</v>
      </c>
      <c r="AD60" s="1450">
        <v>0</v>
      </c>
      <c r="AE60" s="1451">
        <v>0</v>
      </c>
    </row>
    <row r="61" spans="2:31" x14ac:dyDescent="0.2">
      <c r="B61" s="532">
        <v>2046</v>
      </c>
      <c r="C61" s="1416">
        <v>163848.29249390995</v>
      </c>
      <c r="D61" s="1417">
        <v>7168.6716749211255</v>
      </c>
      <c r="E61" s="1417">
        <v>11626.037634502272</v>
      </c>
      <c r="F61" s="1417">
        <v>73769.167518178583</v>
      </c>
      <c r="G61" s="1417">
        <v>35412.719465612288</v>
      </c>
      <c r="H61" s="1418">
        <v>1000000</v>
      </c>
      <c r="I61" s="1361">
        <f t="shared" si="7"/>
        <v>0</v>
      </c>
      <c r="J61" s="533">
        <f t="shared" si="8"/>
        <v>0</v>
      </c>
      <c r="K61" s="533">
        <f t="shared" si="9"/>
        <v>0</v>
      </c>
      <c r="L61" s="533">
        <f t="shared" si="10"/>
        <v>0</v>
      </c>
      <c r="M61" s="1366">
        <f t="shared" si="11"/>
        <v>0</v>
      </c>
      <c r="N61" s="1434">
        <v>8.1044333679487188</v>
      </c>
      <c r="O61" s="1435">
        <v>10.688808617137539</v>
      </c>
      <c r="P61" s="1435">
        <v>12.627297755421194</v>
      </c>
      <c r="Q61" s="1435">
        <v>22.319949149889784</v>
      </c>
      <c r="R61" s="1435">
        <v>14.955581380681611</v>
      </c>
      <c r="S61" s="1436">
        <v>1</v>
      </c>
      <c r="T61" s="1437">
        <v>1</v>
      </c>
      <c r="U61" s="1438">
        <v>1</v>
      </c>
      <c r="V61" s="1438">
        <v>1</v>
      </c>
      <c r="W61" s="1438">
        <v>1</v>
      </c>
      <c r="X61" s="1438">
        <v>1</v>
      </c>
      <c r="Y61" s="1439">
        <v>1</v>
      </c>
      <c r="Z61" s="1437">
        <v>0</v>
      </c>
      <c r="AA61" s="1438">
        <v>0</v>
      </c>
      <c r="AB61" s="1438">
        <v>0</v>
      </c>
      <c r="AC61" s="1438">
        <v>538.76683756346654</v>
      </c>
      <c r="AD61" s="1438">
        <v>0</v>
      </c>
      <c r="AE61" s="1439">
        <v>0</v>
      </c>
    </row>
    <row r="62" spans="2:31" x14ac:dyDescent="0.2">
      <c r="B62" s="523">
        <v>2047</v>
      </c>
      <c r="C62" s="1419">
        <v>163848.29249390995</v>
      </c>
      <c r="D62" s="1420">
        <v>7437.0295649088948</v>
      </c>
      <c r="E62" s="1420">
        <v>11776.089113607397</v>
      </c>
      <c r="F62" s="1420">
        <v>63372.663572260994</v>
      </c>
      <c r="G62" s="1420">
        <v>32090.570006344853</v>
      </c>
      <c r="H62" s="1421">
        <v>1000000</v>
      </c>
      <c r="I62" s="1358">
        <f t="shared" si="7"/>
        <v>0</v>
      </c>
      <c r="J62" s="524">
        <f t="shared" si="8"/>
        <v>0</v>
      </c>
      <c r="K62" s="524">
        <f t="shared" si="9"/>
        <v>0</v>
      </c>
      <c r="L62" s="524">
        <f t="shared" si="10"/>
        <v>0</v>
      </c>
      <c r="M62" s="1363">
        <f t="shared" si="11"/>
        <v>0</v>
      </c>
      <c r="N62" s="1440">
        <v>8.1044320169487083</v>
      </c>
      <c r="O62" s="1441">
        <v>10.801702759146982</v>
      </c>
      <c r="P62" s="1441">
        <v>12.817384155995111</v>
      </c>
      <c r="Q62" s="1441">
        <v>22.66919417367885</v>
      </c>
      <c r="R62" s="1441">
        <v>15.208896119734176</v>
      </c>
      <c r="S62" s="1442">
        <v>1</v>
      </c>
      <c r="T62" s="1443">
        <v>1</v>
      </c>
      <c r="U62" s="1444">
        <v>1</v>
      </c>
      <c r="V62" s="1444">
        <v>1</v>
      </c>
      <c r="W62" s="1444">
        <v>1</v>
      </c>
      <c r="X62" s="1444">
        <v>1</v>
      </c>
      <c r="Y62" s="1445">
        <v>1</v>
      </c>
      <c r="Z62" s="1443">
        <v>0</v>
      </c>
      <c r="AA62" s="1444">
        <v>0</v>
      </c>
      <c r="AB62" s="1444">
        <v>0</v>
      </c>
      <c r="AC62" s="1444">
        <v>540.59055388787044</v>
      </c>
      <c r="AD62" s="1444">
        <v>0</v>
      </c>
      <c r="AE62" s="1445">
        <v>0</v>
      </c>
    </row>
    <row r="63" spans="2:31" x14ac:dyDescent="0.2">
      <c r="B63" s="523">
        <v>2048</v>
      </c>
      <c r="C63" s="1419">
        <v>163848.29249390995</v>
      </c>
      <c r="D63" s="1420">
        <v>7616.6018916890653</v>
      </c>
      <c r="E63" s="1420">
        <v>11876.496421329713</v>
      </c>
      <c r="F63" s="1420">
        <v>56415.81798060445</v>
      </c>
      <c r="G63" s="1420">
        <v>29867.545714644868</v>
      </c>
      <c r="H63" s="1421">
        <v>1000000</v>
      </c>
      <c r="I63" s="1358">
        <f t="shared" si="7"/>
        <v>0</v>
      </c>
      <c r="J63" s="524">
        <f t="shared" si="8"/>
        <v>0</v>
      </c>
      <c r="K63" s="524">
        <f t="shared" si="9"/>
        <v>0</v>
      </c>
      <c r="L63" s="524">
        <f t="shared" si="10"/>
        <v>0</v>
      </c>
      <c r="M63" s="1363">
        <f t="shared" si="11"/>
        <v>0</v>
      </c>
      <c r="N63" s="1440">
        <v>8.1044267226986744</v>
      </c>
      <c r="O63" s="1441">
        <v>10.877246145486064</v>
      </c>
      <c r="P63" s="1441">
        <v>12.944580927596949</v>
      </c>
      <c r="Q63" s="1441">
        <v>22.902892320362959</v>
      </c>
      <c r="R63" s="1441">
        <v>15.378402285926851</v>
      </c>
      <c r="S63" s="1442">
        <v>1</v>
      </c>
      <c r="T63" s="1443">
        <v>1</v>
      </c>
      <c r="U63" s="1444">
        <v>1</v>
      </c>
      <c r="V63" s="1444">
        <v>1</v>
      </c>
      <c r="W63" s="1444">
        <v>1</v>
      </c>
      <c r="X63" s="1444">
        <v>1</v>
      </c>
      <c r="Y63" s="1445">
        <v>1</v>
      </c>
      <c r="Z63" s="1443">
        <v>0</v>
      </c>
      <c r="AA63" s="1444">
        <v>0</v>
      </c>
      <c r="AB63" s="1444">
        <v>0</v>
      </c>
      <c r="AC63" s="1444">
        <v>542.41427021227435</v>
      </c>
      <c r="AD63" s="1444">
        <v>0</v>
      </c>
      <c r="AE63" s="1445">
        <v>0</v>
      </c>
    </row>
    <row r="64" spans="2:31" x14ac:dyDescent="0.2">
      <c r="B64" s="523">
        <v>2049</v>
      </c>
      <c r="C64" s="1419">
        <v>163848.29249390995</v>
      </c>
      <c r="D64" s="1420">
        <v>7732.5036879633344</v>
      </c>
      <c r="E64" s="1420">
        <v>11941.302550050905</v>
      </c>
      <c r="F64" s="1420">
        <v>51925.644494893641</v>
      </c>
      <c r="G64" s="1420">
        <v>28432.733830268277</v>
      </c>
      <c r="H64" s="1421">
        <v>1000000</v>
      </c>
      <c r="I64" s="1358">
        <f t="shared" si="7"/>
        <v>0</v>
      </c>
      <c r="J64" s="524">
        <f t="shared" si="8"/>
        <v>0</v>
      </c>
      <c r="K64" s="524">
        <f t="shared" si="9"/>
        <v>0</v>
      </c>
      <c r="L64" s="524">
        <f t="shared" si="10"/>
        <v>0</v>
      </c>
      <c r="M64" s="1363">
        <f t="shared" si="11"/>
        <v>0</v>
      </c>
      <c r="N64" s="1440">
        <v>8.1044227545263041</v>
      </c>
      <c r="O64" s="1441">
        <v>10.92600429397327</v>
      </c>
      <c r="P64" s="1441">
        <v>13.02667784404994</v>
      </c>
      <c r="Q64" s="1441">
        <v>23.053728674005654</v>
      </c>
      <c r="R64" s="1441">
        <v>15.48780705610252</v>
      </c>
      <c r="S64" s="1442">
        <v>1</v>
      </c>
      <c r="T64" s="1443">
        <v>1</v>
      </c>
      <c r="U64" s="1444">
        <v>1</v>
      </c>
      <c r="V64" s="1444">
        <v>1</v>
      </c>
      <c r="W64" s="1444">
        <v>1</v>
      </c>
      <c r="X64" s="1444">
        <v>1</v>
      </c>
      <c r="Y64" s="1445">
        <v>1</v>
      </c>
      <c r="Z64" s="1443">
        <v>0</v>
      </c>
      <c r="AA64" s="1444">
        <v>0</v>
      </c>
      <c r="AB64" s="1444">
        <v>0</v>
      </c>
      <c r="AC64" s="1444">
        <v>544.23798653667825</v>
      </c>
      <c r="AD64" s="1444">
        <v>0</v>
      </c>
      <c r="AE64" s="1445">
        <v>0</v>
      </c>
    </row>
    <row r="65" spans="2:31" ht="13.5" thickBot="1" x14ac:dyDescent="0.25">
      <c r="B65" s="525">
        <v>2050</v>
      </c>
      <c r="C65" s="1422">
        <v>163848.29249390995</v>
      </c>
      <c r="D65" s="1423">
        <v>7922.5870963384223</v>
      </c>
      <c r="E65" s="1423">
        <v>12047.587096338422</v>
      </c>
      <c r="F65" s="1423">
        <v>44561.587096338422</v>
      </c>
      <c r="G65" s="1423">
        <v>26079.587096338422</v>
      </c>
      <c r="H65" s="1424">
        <v>1000000</v>
      </c>
      <c r="I65" s="1359">
        <f t="shared" si="7"/>
        <v>0</v>
      </c>
      <c r="J65" s="526">
        <f t="shared" si="8"/>
        <v>0</v>
      </c>
      <c r="K65" s="526">
        <f t="shared" si="9"/>
        <v>0</v>
      </c>
      <c r="L65" s="526">
        <f t="shared" si="10"/>
        <v>0</v>
      </c>
      <c r="M65" s="1364">
        <f t="shared" si="11"/>
        <v>0</v>
      </c>
      <c r="N65" s="1446">
        <v>8.1044081378346959</v>
      </c>
      <c r="O65" s="1447">
        <v>11.00596953479296</v>
      </c>
      <c r="P65" s="1447">
        <v>13.16131994795264</v>
      </c>
      <c r="Q65" s="1458">
        <v>23.30110610152564</v>
      </c>
      <c r="R65" s="1458">
        <v>15.667235091525489</v>
      </c>
      <c r="S65" s="1459">
        <v>1</v>
      </c>
      <c r="T65" s="1449">
        <v>1</v>
      </c>
      <c r="U65" s="1450">
        <v>1</v>
      </c>
      <c r="V65" s="1450">
        <v>1</v>
      </c>
      <c r="W65" s="1450">
        <v>1</v>
      </c>
      <c r="X65" s="1450">
        <v>1</v>
      </c>
      <c r="Y65" s="1451">
        <v>1</v>
      </c>
      <c r="Z65" s="1449">
        <v>0</v>
      </c>
      <c r="AA65" s="1450">
        <v>0</v>
      </c>
      <c r="AB65" s="1450">
        <v>0</v>
      </c>
      <c r="AC65" s="1450">
        <v>546.06170286108238</v>
      </c>
      <c r="AD65" s="1450">
        <v>0</v>
      </c>
      <c r="AE65" s="1451">
        <v>0</v>
      </c>
    </row>
    <row r="66" spans="2:31" ht="13.5" thickBot="1" x14ac:dyDescent="0.25">
      <c r="C66" s="497"/>
      <c r="D66" s="497"/>
      <c r="F66" s="497"/>
    </row>
    <row r="67" spans="2:31" ht="13.5" thickBot="1" x14ac:dyDescent="0.25">
      <c r="B67" s="1470"/>
      <c r="C67" s="537" t="s">
        <v>202</v>
      </c>
      <c r="D67" s="497"/>
      <c r="F67" s="497"/>
    </row>
    <row r="68" spans="2:31" x14ac:dyDescent="0.2">
      <c r="F68" s="534"/>
      <c r="G68" s="535"/>
      <c r="H68" s="534"/>
      <c r="I68" s="534"/>
      <c r="J68" s="534"/>
      <c r="K68" s="534"/>
      <c r="L68" s="534"/>
      <c r="M68" s="534"/>
      <c r="N68" s="534"/>
      <c r="O68" s="1287"/>
      <c r="P68" s="1287"/>
      <c r="Q68" s="1287"/>
      <c r="R68" s="1287"/>
      <c r="S68" s="1287"/>
    </row>
    <row r="69" spans="2:31" x14ac:dyDescent="0.2">
      <c r="D69" s="537"/>
      <c r="F69" s="534"/>
      <c r="G69" s="535"/>
      <c r="H69" s="534"/>
      <c r="I69" s="534"/>
      <c r="J69" s="534"/>
      <c r="K69" s="534"/>
      <c r="L69" s="534"/>
      <c r="M69" s="534"/>
      <c r="N69" s="534"/>
      <c r="O69" s="1287"/>
      <c r="P69" s="1287"/>
      <c r="Q69" s="1287"/>
      <c r="R69" s="1287"/>
      <c r="S69" s="1287"/>
    </row>
    <row r="70" spans="2:31" x14ac:dyDescent="0.2">
      <c r="B70" s="538"/>
      <c r="F70" s="534"/>
      <c r="G70" s="535"/>
      <c r="H70" s="534"/>
      <c r="I70" s="534"/>
      <c r="J70" s="534"/>
      <c r="K70" s="534"/>
      <c r="L70" s="534"/>
      <c r="M70" s="534"/>
      <c r="N70" s="534"/>
      <c r="O70" s="1287"/>
      <c r="P70" s="1287"/>
      <c r="Q70" s="1287"/>
      <c r="R70" s="1287"/>
      <c r="S70" s="1287"/>
    </row>
    <row r="71" spans="2:31" x14ac:dyDescent="0.2">
      <c r="B71" s="538"/>
      <c r="C71" s="538"/>
      <c r="D71" s="538"/>
      <c r="F71" s="534"/>
      <c r="G71" s="535"/>
      <c r="H71" s="534"/>
      <c r="I71" s="534"/>
      <c r="J71" s="534"/>
      <c r="K71" s="534"/>
      <c r="L71" s="534"/>
      <c r="M71" s="534"/>
      <c r="N71" s="534"/>
      <c r="O71" s="1287"/>
      <c r="P71" s="1287"/>
      <c r="Q71" s="1287"/>
      <c r="R71" s="1287"/>
      <c r="S71" s="1287"/>
    </row>
    <row r="72" spans="2:31" x14ac:dyDescent="0.2">
      <c r="F72" s="534"/>
      <c r="G72" s="535"/>
      <c r="H72" s="534"/>
      <c r="I72" s="534"/>
      <c r="J72" s="534"/>
      <c r="K72" s="534"/>
      <c r="L72" s="534"/>
      <c r="M72" s="534"/>
      <c r="N72" s="534"/>
      <c r="O72" s="1287"/>
      <c r="P72" s="1287"/>
      <c r="Q72" s="1287"/>
      <c r="R72" s="1287"/>
      <c r="S72" s="1287"/>
    </row>
    <row r="73" spans="2:31" x14ac:dyDescent="0.2">
      <c r="F73" s="534"/>
      <c r="G73" s="535"/>
      <c r="H73" s="534"/>
      <c r="I73" s="534"/>
      <c r="J73" s="534"/>
      <c r="K73" s="534"/>
      <c r="L73" s="534"/>
      <c r="M73" s="534"/>
      <c r="N73" s="534"/>
      <c r="O73" s="1287"/>
      <c r="P73" s="1287"/>
      <c r="Q73" s="1287"/>
      <c r="R73" s="1287"/>
      <c r="S73" s="1287"/>
    </row>
    <row r="74" spans="2:31" x14ac:dyDescent="0.2">
      <c r="F74" s="534"/>
      <c r="G74" s="535"/>
      <c r="H74" s="534"/>
      <c r="I74" s="534"/>
      <c r="J74" s="534"/>
      <c r="K74" s="534"/>
      <c r="L74" s="534"/>
      <c r="M74" s="534"/>
      <c r="N74" s="534"/>
      <c r="O74" s="1287"/>
      <c r="P74" s="1287"/>
      <c r="Q74" s="1287"/>
      <c r="R74" s="1287"/>
      <c r="S74" s="1287"/>
    </row>
    <row r="75" spans="2:31" x14ac:dyDescent="0.2">
      <c r="F75" s="534"/>
      <c r="G75" s="535"/>
      <c r="H75" s="534"/>
      <c r="I75" s="534"/>
      <c r="J75" s="534"/>
      <c r="K75" s="534"/>
      <c r="L75" s="534"/>
      <c r="M75" s="534"/>
      <c r="N75" s="534"/>
      <c r="O75" s="1287"/>
      <c r="P75" s="1287"/>
      <c r="Q75" s="1287"/>
      <c r="R75" s="1287"/>
      <c r="S75" s="1287"/>
    </row>
    <row r="76" spans="2:31" x14ac:dyDescent="0.2">
      <c r="F76" s="534"/>
      <c r="G76" s="535"/>
      <c r="H76" s="534"/>
      <c r="I76" s="534"/>
      <c r="J76" s="534"/>
      <c r="K76" s="534"/>
      <c r="L76" s="534"/>
      <c r="M76" s="534"/>
      <c r="N76" s="534"/>
      <c r="O76" s="1287"/>
      <c r="P76" s="1287"/>
      <c r="Q76" s="1287"/>
      <c r="R76" s="1287"/>
      <c r="S76" s="1287"/>
    </row>
    <row r="77" spans="2:31" x14ac:dyDescent="0.2">
      <c r="F77" s="534"/>
      <c r="G77" s="535"/>
      <c r="H77" s="534"/>
      <c r="I77" s="534"/>
      <c r="J77" s="534"/>
      <c r="K77" s="534"/>
      <c r="L77" s="534"/>
      <c r="M77" s="534"/>
      <c r="N77" s="534"/>
      <c r="O77" s="1287"/>
      <c r="P77" s="1287"/>
      <c r="Q77" s="1287"/>
      <c r="R77" s="1287"/>
      <c r="S77" s="1287"/>
    </row>
    <row r="78" spans="2:31" x14ac:dyDescent="0.2">
      <c r="F78" s="534"/>
      <c r="G78" s="535"/>
      <c r="H78" s="534"/>
      <c r="I78" s="534"/>
      <c r="J78" s="534"/>
      <c r="K78" s="534"/>
      <c r="L78" s="534"/>
      <c r="M78" s="534"/>
      <c r="N78" s="534"/>
      <c r="O78" s="1287"/>
      <c r="P78" s="1287"/>
      <c r="Q78" s="1287"/>
      <c r="R78" s="1287"/>
      <c r="S78" s="1287"/>
    </row>
    <row r="79" spans="2:31" x14ac:dyDescent="0.2">
      <c r="F79" s="534"/>
      <c r="G79" s="535"/>
      <c r="H79" s="534"/>
      <c r="I79" s="534"/>
      <c r="J79" s="534"/>
      <c r="K79" s="534"/>
      <c r="L79" s="534"/>
      <c r="M79" s="534"/>
      <c r="N79" s="534"/>
      <c r="O79" s="1287"/>
      <c r="P79" s="1287"/>
      <c r="Q79" s="1287"/>
      <c r="R79" s="1287"/>
      <c r="S79" s="1287"/>
    </row>
    <row r="80" spans="2:31" x14ac:dyDescent="0.2">
      <c r="F80" s="534"/>
      <c r="G80" s="535"/>
      <c r="H80" s="534"/>
      <c r="I80" s="534"/>
      <c r="J80" s="534"/>
      <c r="K80" s="534"/>
      <c r="L80" s="534"/>
      <c r="M80" s="534"/>
      <c r="N80" s="534"/>
      <c r="O80" s="1287"/>
      <c r="P80" s="1287"/>
      <c r="Q80" s="1287"/>
      <c r="R80" s="1287"/>
      <c r="S80" s="1287"/>
    </row>
    <row r="81" spans="6:19" x14ac:dyDescent="0.2">
      <c r="F81" s="534"/>
      <c r="G81" s="535"/>
      <c r="H81" s="534"/>
      <c r="I81" s="534"/>
      <c r="J81" s="534"/>
      <c r="K81" s="534"/>
      <c r="L81" s="534"/>
      <c r="M81" s="534"/>
      <c r="N81" s="534"/>
      <c r="O81" s="1287"/>
      <c r="P81" s="1287"/>
      <c r="Q81" s="1287"/>
      <c r="R81" s="1287"/>
      <c r="S81" s="1287"/>
    </row>
    <row r="82" spans="6:19" x14ac:dyDescent="0.2">
      <c r="F82" s="534"/>
      <c r="G82" s="535"/>
      <c r="H82" s="534"/>
      <c r="I82" s="534"/>
      <c r="J82" s="534"/>
      <c r="K82" s="534"/>
      <c r="L82" s="534"/>
      <c r="M82" s="534"/>
      <c r="N82" s="534"/>
      <c r="O82" s="1287"/>
      <c r="P82" s="1287"/>
      <c r="Q82" s="1287"/>
      <c r="R82" s="1287"/>
      <c r="S82" s="1287"/>
    </row>
    <row r="83" spans="6:19" x14ac:dyDescent="0.2">
      <c r="F83" s="534"/>
      <c r="G83" s="535"/>
      <c r="H83" s="534"/>
      <c r="I83" s="534"/>
      <c r="J83" s="534"/>
      <c r="K83" s="534"/>
      <c r="L83" s="534"/>
      <c r="M83" s="534"/>
      <c r="N83" s="534"/>
      <c r="O83" s="1287"/>
      <c r="P83" s="1287"/>
      <c r="Q83" s="1287"/>
      <c r="R83" s="1287"/>
      <c r="S83" s="1287"/>
    </row>
    <row r="84" spans="6:19" x14ac:dyDescent="0.2">
      <c r="F84" s="534"/>
      <c r="G84" s="535"/>
      <c r="H84" s="534"/>
      <c r="I84" s="534"/>
      <c r="J84" s="534"/>
      <c r="K84" s="534"/>
      <c r="L84" s="534"/>
      <c r="M84" s="534"/>
      <c r="N84" s="534"/>
      <c r="O84" s="1287"/>
      <c r="P84" s="1287"/>
      <c r="Q84" s="1287"/>
      <c r="R84" s="1287"/>
      <c r="S84" s="1287"/>
    </row>
    <row r="85" spans="6:19" x14ac:dyDescent="0.2">
      <c r="F85" s="534"/>
      <c r="G85" s="535"/>
      <c r="H85" s="534"/>
      <c r="I85" s="534"/>
      <c r="J85" s="534"/>
      <c r="K85" s="534"/>
      <c r="L85" s="534"/>
      <c r="M85" s="534"/>
      <c r="N85" s="534"/>
      <c r="O85" s="1287"/>
      <c r="P85" s="1287"/>
      <c r="Q85" s="1287"/>
      <c r="R85" s="1287"/>
      <c r="S85" s="1287"/>
    </row>
    <row r="86" spans="6:19" x14ac:dyDescent="0.2">
      <c r="F86" s="534"/>
      <c r="G86" s="535"/>
      <c r="H86" s="534"/>
      <c r="I86" s="534"/>
      <c r="J86" s="534"/>
      <c r="K86" s="534"/>
      <c r="L86" s="534"/>
      <c r="M86" s="534"/>
      <c r="N86" s="534"/>
      <c r="O86" s="1287"/>
      <c r="P86" s="1287"/>
      <c r="Q86" s="1287"/>
      <c r="R86" s="1287"/>
      <c r="S86" s="1287"/>
    </row>
    <row r="87" spans="6:19" x14ac:dyDescent="0.2">
      <c r="F87" s="534"/>
      <c r="G87" s="535"/>
      <c r="H87" s="534"/>
      <c r="I87" s="534"/>
      <c r="J87" s="534"/>
      <c r="K87" s="534"/>
      <c r="L87" s="534"/>
      <c r="M87" s="534"/>
      <c r="N87" s="534"/>
      <c r="O87" s="1287"/>
      <c r="P87" s="1287"/>
      <c r="Q87" s="1287"/>
      <c r="R87" s="1287"/>
      <c r="S87" s="1287"/>
    </row>
    <row r="88" spans="6:19" x14ac:dyDescent="0.2">
      <c r="F88" s="534"/>
      <c r="G88" s="535"/>
      <c r="H88" s="534"/>
      <c r="I88" s="534"/>
      <c r="J88" s="534"/>
      <c r="K88" s="534"/>
      <c r="L88" s="534"/>
      <c r="M88" s="534"/>
      <c r="N88" s="534"/>
      <c r="O88" s="1287"/>
      <c r="P88" s="1287"/>
      <c r="Q88" s="1287"/>
      <c r="R88" s="1287"/>
      <c r="S88" s="1287"/>
    </row>
    <row r="89" spans="6:19" x14ac:dyDescent="0.2">
      <c r="F89" s="534"/>
      <c r="G89" s="535"/>
      <c r="H89" s="534"/>
      <c r="I89" s="534"/>
      <c r="J89" s="534"/>
      <c r="K89" s="534"/>
      <c r="L89" s="534"/>
      <c r="M89" s="534"/>
      <c r="N89" s="534"/>
      <c r="O89" s="1287"/>
      <c r="P89" s="1287"/>
      <c r="Q89" s="1287"/>
      <c r="R89" s="1287"/>
      <c r="S89" s="1287"/>
    </row>
    <row r="90" spans="6:19" x14ac:dyDescent="0.2">
      <c r="F90" s="534"/>
      <c r="G90" s="535"/>
      <c r="H90" s="534"/>
      <c r="I90" s="534"/>
      <c r="J90" s="534"/>
      <c r="K90" s="534"/>
      <c r="L90" s="534"/>
      <c r="M90" s="534"/>
      <c r="N90" s="534"/>
      <c r="O90" s="1287"/>
      <c r="P90" s="1287"/>
      <c r="Q90" s="1287"/>
      <c r="R90" s="1287"/>
      <c r="S90" s="1287"/>
    </row>
    <row r="91" spans="6:19" x14ac:dyDescent="0.2">
      <c r="F91" s="534"/>
      <c r="G91" s="535"/>
      <c r="H91" s="534"/>
      <c r="I91" s="534"/>
      <c r="J91" s="534"/>
      <c r="K91" s="534"/>
      <c r="L91" s="534"/>
      <c r="M91" s="534"/>
      <c r="N91" s="534"/>
      <c r="O91" s="1287"/>
      <c r="P91" s="1287"/>
      <c r="Q91" s="1287"/>
      <c r="R91" s="1287"/>
      <c r="S91" s="1287"/>
    </row>
    <row r="92" spans="6:19" x14ac:dyDescent="0.2">
      <c r="F92" s="534"/>
      <c r="G92" s="535"/>
      <c r="H92" s="534"/>
      <c r="I92" s="534"/>
      <c r="J92" s="534"/>
      <c r="K92" s="534"/>
      <c r="L92" s="534"/>
      <c r="M92" s="534"/>
      <c r="N92" s="534"/>
      <c r="O92" s="1287"/>
      <c r="P92" s="1287"/>
      <c r="Q92" s="1287"/>
      <c r="R92" s="1287"/>
      <c r="S92" s="1287"/>
    </row>
    <row r="93" spans="6:19" x14ac:dyDescent="0.2">
      <c r="F93" s="534"/>
      <c r="G93" s="535"/>
      <c r="H93" s="534"/>
      <c r="I93" s="534"/>
      <c r="J93" s="534"/>
      <c r="K93" s="534"/>
      <c r="L93" s="534"/>
      <c r="M93" s="534"/>
      <c r="N93" s="534"/>
      <c r="O93" s="1287"/>
      <c r="P93" s="1287"/>
      <c r="Q93" s="1287"/>
      <c r="R93" s="1287"/>
      <c r="S93" s="1287"/>
    </row>
    <row r="94" spans="6:19" x14ac:dyDescent="0.2">
      <c r="F94" s="534"/>
      <c r="G94" s="535"/>
      <c r="H94" s="534"/>
      <c r="I94" s="534"/>
      <c r="J94" s="534"/>
      <c r="K94" s="534"/>
      <c r="L94" s="534"/>
      <c r="M94" s="534"/>
      <c r="N94" s="534"/>
      <c r="O94" s="1287"/>
      <c r="P94" s="1287"/>
      <c r="Q94" s="1287"/>
      <c r="R94" s="1287"/>
      <c r="S94" s="1287"/>
    </row>
    <row r="95" spans="6:19" x14ac:dyDescent="0.2">
      <c r="F95" s="534"/>
      <c r="G95" s="535"/>
      <c r="H95" s="534"/>
      <c r="I95" s="534"/>
      <c r="J95" s="534"/>
      <c r="K95" s="534"/>
      <c r="L95" s="534"/>
      <c r="M95" s="534"/>
      <c r="N95" s="534"/>
      <c r="O95" s="1287"/>
      <c r="P95" s="1287"/>
      <c r="Q95" s="1287"/>
      <c r="R95" s="1287"/>
      <c r="S95" s="1287"/>
    </row>
    <row r="96" spans="6:19" x14ac:dyDescent="0.2">
      <c r="F96" s="534"/>
      <c r="G96" s="535"/>
      <c r="H96" s="534"/>
      <c r="I96" s="534"/>
      <c r="J96" s="534"/>
      <c r="K96" s="534"/>
      <c r="L96" s="534"/>
      <c r="M96" s="534"/>
      <c r="N96" s="534"/>
      <c r="O96" s="1287"/>
      <c r="P96" s="1287"/>
      <c r="Q96" s="1287"/>
      <c r="R96" s="1287"/>
      <c r="S96" s="1287"/>
    </row>
    <row r="97" spans="6:19" x14ac:dyDescent="0.2">
      <c r="F97" s="534"/>
      <c r="G97" s="535"/>
      <c r="H97" s="534"/>
      <c r="I97" s="534"/>
      <c r="J97" s="534"/>
      <c r="K97" s="534"/>
      <c r="L97" s="534"/>
      <c r="M97" s="534"/>
      <c r="N97" s="534"/>
      <c r="O97" s="1287"/>
      <c r="P97" s="1287"/>
      <c r="Q97" s="1287"/>
      <c r="R97" s="1287"/>
      <c r="S97" s="1287"/>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95" priority="7">
      <formula>AND($G$8="N/A",$T22&gt;1)</formula>
    </cfRule>
  </conditionalFormatting>
  <conditionalFormatting sqref="V22:V65">
    <cfRule type="expression" dxfId="94" priority="5">
      <formula>AND($G$10="N/A",$V22&gt;1)</formula>
    </cfRule>
  </conditionalFormatting>
  <conditionalFormatting sqref="U22:U65">
    <cfRule type="expression" dxfId="93" priority="6">
      <formula>AND($G$9="N/A",U22&gt;1)</formula>
    </cfRule>
  </conditionalFormatting>
  <conditionalFormatting sqref="W22:W65">
    <cfRule type="expression" dxfId="92" priority="4">
      <formula>AND($G$11="N/A",$W22&gt;1)</formula>
    </cfRule>
  </conditionalFormatting>
  <conditionalFormatting sqref="X22:X65">
    <cfRule type="expression" dxfId="91" priority="3">
      <formula>AND($G$12="N/A",$X22&gt;1)</formula>
    </cfRule>
  </conditionalFormatting>
  <conditionalFormatting sqref="Y22:Y65">
    <cfRule type="expression" dxfId="90" priority="2">
      <formula>AND($G$13="N/A",$Y22&gt;1)</formula>
    </cfRule>
  </conditionalFormatting>
  <conditionalFormatting sqref="Z20:AE20">
    <cfRule type="expression" dxfId="89"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85725</xdr:colOff>
                    <xdr:row>8</xdr:row>
                    <xdr:rowOff>0</xdr:rowOff>
                  </from>
                  <to>
                    <xdr:col>18</xdr:col>
                    <xdr:colOff>438150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zoomScaleNormal="100" workbookViewId="0">
      <selection activeCell="K10" sqref="K10"/>
    </sheetView>
  </sheetViews>
  <sheetFormatPr defaultRowHeight="12.75" outlineLevelCol="1" x14ac:dyDescent="0.2"/>
  <cols>
    <col min="1" max="1" width="1.5703125" style="3" customWidth="1"/>
    <col min="2" max="2" width="7.5703125" style="3" customWidth="1"/>
    <col min="3" max="3" width="9.5703125" style="3" customWidth="1"/>
    <col min="4" max="4" width="10.28515625" style="3" customWidth="1"/>
    <col min="5" max="5" width="9.28515625" style="2" customWidth="1" outlineLevel="1"/>
    <col min="6" max="6" width="8.7109375" style="3" customWidth="1" outlineLevel="1"/>
    <col min="7" max="7" width="9.5703125" style="2" bestFit="1" customWidth="1"/>
    <col min="8" max="8" width="8.5703125" style="3" customWidth="1"/>
    <col min="9" max="9" width="8.42578125" style="3" customWidth="1" outlineLevel="1"/>
    <col min="10" max="10" width="7.140625" style="3" customWidth="1" outlineLevel="1"/>
    <col min="11" max="11" width="8.28515625" style="3" customWidth="1"/>
    <col min="12" max="12" width="7.85546875" style="3" customWidth="1"/>
    <col min="13" max="13" width="8.7109375" style="3" bestFit="1" customWidth="1" outlineLevel="1"/>
    <col min="14" max="14" width="8.140625" style="3" customWidth="1" outlineLevel="1"/>
    <col min="15" max="15" width="8.7109375" style="3" bestFit="1" customWidth="1"/>
    <col min="16" max="16" width="7.85546875" style="3" customWidth="1"/>
    <col min="17" max="17" width="6.28515625" customWidth="1" outlineLevel="1"/>
    <col min="18" max="18" width="7.85546875" customWidth="1" outlineLevel="1"/>
    <col min="19" max="19" width="6.28515625" customWidth="1"/>
    <col min="20" max="20" width="7.85546875" customWidth="1"/>
    <col min="21" max="21" width="5.85546875" customWidth="1" outlineLevel="1"/>
    <col min="22" max="22" width="7.42578125" customWidth="1" outlineLevel="1"/>
    <col min="23" max="23" width="6.85546875" customWidth="1"/>
    <col min="24" max="24" width="7.85546875" customWidth="1"/>
    <col min="25" max="25" width="7.140625" customWidth="1"/>
    <col min="26" max="26" width="6.42578125" customWidth="1"/>
    <col min="27" max="27" width="7.140625" customWidth="1"/>
    <col min="28" max="28" width="7.85546875" customWidth="1"/>
    <col min="29" max="29" width="5.85546875" customWidth="1"/>
    <col min="30" max="30" width="6.7109375" customWidth="1"/>
    <col min="31" max="31" width="5.85546875" customWidth="1"/>
    <col min="32" max="32" width="7.85546875" customWidth="1"/>
    <col min="33" max="33" width="4.42578125" hidden="1" customWidth="1"/>
    <col min="34" max="34" width="6.5703125" hidden="1" customWidth="1"/>
    <col min="35" max="46" width="7.140625" hidden="1" customWidth="1"/>
    <col min="47" max="58" width="6.5703125" hidden="1" customWidth="1"/>
    <col min="59" max="67" width="0" hidden="1" customWidth="1"/>
  </cols>
  <sheetData>
    <row r="1" spans="1:27" ht="15.75" x14ac:dyDescent="0.25">
      <c r="B1" s="54" t="s">
        <v>242</v>
      </c>
      <c r="C1" s="1"/>
      <c r="D1" s="1"/>
      <c r="F1" s="1"/>
    </row>
    <row r="2" spans="1:27" ht="5.25" customHeight="1" x14ac:dyDescent="0.25">
      <c r="B2" s="54"/>
      <c r="C2" s="1"/>
      <c r="D2" s="497"/>
      <c r="F2" s="1"/>
    </row>
    <row r="3" spans="1:27" x14ac:dyDescent="0.2">
      <c r="B3" s="1" t="s">
        <v>227</v>
      </c>
      <c r="D3" s="766" t="s">
        <v>228</v>
      </c>
      <c r="E3" s="1379">
        <v>250</v>
      </c>
      <c r="F3" s="1"/>
    </row>
    <row r="4" spans="1:27" ht="15.75" x14ac:dyDescent="0.25">
      <c r="B4" s="12"/>
      <c r="C4" s="1"/>
      <c r="D4" s="1"/>
      <c r="F4" s="1"/>
    </row>
    <row r="5" spans="1:27" ht="15.75" thickBot="1" x14ac:dyDescent="0.3">
      <c r="B5" s="36" t="s">
        <v>74</v>
      </c>
      <c r="C5"/>
      <c r="D5"/>
      <c r="E5"/>
      <c r="F5"/>
      <c r="G5"/>
      <c r="H5"/>
      <c r="I5"/>
      <c r="J5"/>
      <c r="K5"/>
      <c r="L5"/>
      <c r="M5"/>
      <c r="N5" s="37"/>
      <c r="O5" s="37"/>
    </row>
    <row r="6" spans="1:27" ht="24" customHeight="1" x14ac:dyDescent="0.2">
      <c r="B6" s="38"/>
      <c r="C6" s="39"/>
      <c r="D6" s="40"/>
      <c r="E6" s="40"/>
      <c r="F6" s="39"/>
      <c r="G6" s="39"/>
      <c r="H6" s="833"/>
      <c r="I6" s="715"/>
      <c r="J6" s="1520" t="s">
        <v>76</v>
      </c>
      <c r="K6" s="1521"/>
      <c r="L6" s="1522" t="s">
        <v>83</v>
      </c>
      <c r="M6" s="1523"/>
      <c r="N6" s="1522" t="s">
        <v>109</v>
      </c>
      <c r="O6" s="1523"/>
      <c r="P6"/>
      <c r="R6" s="3"/>
    </row>
    <row r="7" spans="1:27" ht="27" customHeight="1" thickBot="1" x14ac:dyDescent="0.3">
      <c r="B7" s="41"/>
      <c r="C7" s="719" t="s">
        <v>75</v>
      </c>
      <c r="D7" s="717"/>
      <c r="E7" s="718"/>
      <c r="F7" s="42" t="s">
        <v>211</v>
      </c>
      <c r="G7" s="42" t="s">
        <v>210</v>
      </c>
      <c r="H7" s="834" t="s">
        <v>264</v>
      </c>
      <c r="I7" s="716" t="s">
        <v>81</v>
      </c>
      <c r="J7" s="606" t="s">
        <v>283</v>
      </c>
      <c r="K7" s="607" t="s">
        <v>284</v>
      </c>
      <c r="L7" s="43" t="s">
        <v>113</v>
      </c>
      <c r="M7" s="44" t="s">
        <v>84</v>
      </c>
      <c r="N7" s="45" t="s">
        <v>95</v>
      </c>
      <c r="O7" s="46" t="s">
        <v>112</v>
      </c>
      <c r="P7"/>
    </row>
    <row r="8" spans="1:27" ht="13.5" thickTop="1" x14ac:dyDescent="0.2">
      <c r="B8" s="217" t="s">
        <v>69</v>
      </c>
      <c r="C8" s="1380" t="s">
        <v>183</v>
      </c>
      <c r="D8" s="1381"/>
      <c r="E8" s="1382"/>
      <c r="F8" s="1383" t="s">
        <v>5</v>
      </c>
      <c r="G8" s="1383" t="s">
        <v>229</v>
      </c>
      <c r="H8" s="893" t="b">
        <f>IF(AND(F8="Electricity",G8="N/A"),TRUE,FALSE)</f>
        <v>0</v>
      </c>
      <c r="I8" s="220"/>
      <c r="J8" s="221"/>
      <c r="K8" s="222"/>
      <c r="L8" s="223"/>
      <c r="M8" s="224"/>
      <c r="N8" s="1480">
        <v>0</v>
      </c>
      <c r="O8" s="1481">
        <v>350</v>
      </c>
    </row>
    <row r="9" spans="1:27" x14ac:dyDescent="0.2">
      <c r="B9" s="218" t="s">
        <v>65</v>
      </c>
      <c r="C9" s="1384" t="s">
        <v>328</v>
      </c>
      <c r="D9" s="1385"/>
      <c r="E9" s="1386"/>
      <c r="F9" s="1387" t="s">
        <v>5</v>
      </c>
      <c r="G9" s="1387" t="s">
        <v>229</v>
      </c>
      <c r="H9" s="894" t="b">
        <f t="shared" ref="H9:H13" si="0">IF(AND(F9="Electricity",G9="N/A"),TRUE,FALSE)</f>
        <v>0</v>
      </c>
      <c r="I9" s="1395">
        <v>2025</v>
      </c>
      <c r="J9" s="1471">
        <v>0</v>
      </c>
      <c r="K9" s="1397">
        <v>0.5</v>
      </c>
      <c r="L9" s="1398">
        <v>5</v>
      </c>
      <c r="M9" s="1399">
        <v>5</v>
      </c>
      <c r="N9" s="1472">
        <v>0</v>
      </c>
      <c r="O9" s="1473">
        <v>350</v>
      </c>
    </row>
    <row r="10" spans="1:27" x14ac:dyDescent="0.2">
      <c r="B10" s="218" t="s">
        <v>66</v>
      </c>
      <c r="C10" s="1384" t="s">
        <v>322</v>
      </c>
      <c r="D10" s="1385"/>
      <c r="E10" s="1386"/>
      <c r="F10" s="1387" t="s">
        <v>5</v>
      </c>
      <c r="G10" s="1387" t="s">
        <v>229</v>
      </c>
      <c r="H10" s="894" t="b">
        <f t="shared" si="0"/>
        <v>0</v>
      </c>
      <c r="I10" s="1395">
        <v>2025</v>
      </c>
      <c r="J10" s="1471">
        <v>0</v>
      </c>
      <c r="K10" s="1397">
        <v>0.5</v>
      </c>
      <c r="L10" s="1398">
        <v>5</v>
      </c>
      <c r="M10" s="1399">
        <v>5</v>
      </c>
      <c r="N10" s="1472">
        <v>0</v>
      </c>
      <c r="O10" s="1473">
        <v>350</v>
      </c>
    </row>
    <row r="11" spans="1:27" x14ac:dyDescent="0.2">
      <c r="B11" s="543" t="s">
        <v>67</v>
      </c>
      <c r="C11" s="1384" t="s">
        <v>324</v>
      </c>
      <c r="D11" s="1388"/>
      <c r="E11" s="1389"/>
      <c r="F11" s="1390" t="s">
        <v>6</v>
      </c>
      <c r="G11" s="1390" t="s">
        <v>229</v>
      </c>
      <c r="H11" s="895" t="b">
        <f t="shared" si="0"/>
        <v>1</v>
      </c>
      <c r="I11" s="1395">
        <v>2025</v>
      </c>
      <c r="J11" s="1474">
        <v>0</v>
      </c>
      <c r="K11" s="1402">
        <v>0.5</v>
      </c>
      <c r="L11" s="1403">
        <v>5</v>
      </c>
      <c r="M11" s="1404">
        <v>5</v>
      </c>
      <c r="N11" s="1475">
        <v>0</v>
      </c>
      <c r="O11" s="1476">
        <v>350</v>
      </c>
    </row>
    <row r="12" spans="1:27" x14ac:dyDescent="0.2">
      <c r="B12" s="543" t="s">
        <v>205</v>
      </c>
      <c r="C12" s="1384" t="s">
        <v>445</v>
      </c>
      <c r="D12" s="1388"/>
      <c r="E12" s="1389"/>
      <c r="F12" s="1390" t="s">
        <v>207</v>
      </c>
      <c r="G12" s="1390" t="s">
        <v>229</v>
      </c>
      <c r="H12" s="895" t="b">
        <f t="shared" si="0"/>
        <v>0</v>
      </c>
      <c r="I12" s="1395">
        <v>2025</v>
      </c>
      <c r="J12" s="1474">
        <v>0</v>
      </c>
      <c r="K12" s="1402">
        <v>0.5</v>
      </c>
      <c r="L12" s="1403">
        <v>5</v>
      </c>
      <c r="M12" s="1404">
        <v>5</v>
      </c>
      <c r="N12" s="1475">
        <v>0</v>
      </c>
      <c r="O12" s="1476">
        <v>350</v>
      </c>
    </row>
    <row r="13" spans="1:27" ht="13.5" thickBot="1" x14ac:dyDescent="0.25">
      <c r="B13" s="219" t="s">
        <v>206</v>
      </c>
      <c r="C13" s="1391"/>
      <c r="D13" s="1392"/>
      <c r="E13" s="1393"/>
      <c r="F13" s="1394" t="s">
        <v>5</v>
      </c>
      <c r="G13" s="1394" t="s">
        <v>229</v>
      </c>
      <c r="H13" s="896" t="b">
        <f t="shared" si="0"/>
        <v>0</v>
      </c>
      <c r="I13" s="1407">
        <v>2025</v>
      </c>
      <c r="J13" s="1477">
        <v>0</v>
      </c>
      <c r="K13" s="1409">
        <v>0</v>
      </c>
      <c r="L13" s="1410">
        <v>5</v>
      </c>
      <c r="M13" s="1411">
        <v>5</v>
      </c>
      <c r="N13" s="1478">
        <v>0</v>
      </c>
      <c r="O13" s="1479">
        <v>350</v>
      </c>
    </row>
    <row r="14" spans="1:27" ht="15.75" x14ac:dyDescent="0.25">
      <c r="B14" s="12"/>
      <c r="C14" s="496" t="s">
        <v>265</v>
      </c>
      <c r="D14" s="1"/>
      <c r="F14" s="1"/>
    </row>
    <row r="15" spans="1:27" ht="15.75" thickBot="1" x14ac:dyDescent="0.25">
      <c r="B15" s="47" t="s">
        <v>119</v>
      </c>
      <c r="C15" s="4"/>
      <c r="D15" s="4"/>
      <c r="G15" s="5"/>
      <c r="H15" s="6"/>
      <c r="I15" s="1524"/>
      <c r="J15" s="1524"/>
      <c r="K15" s="6"/>
      <c r="L15" s="6"/>
      <c r="M15" s="6"/>
      <c r="N15" s="6"/>
      <c r="O15" s="6"/>
      <c r="P15" s="6"/>
    </row>
    <row r="16" spans="1:27" s="232" customFormat="1" ht="13.5" thickBot="1" x14ac:dyDescent="0.25">
      <c r="A16" s="3"/>
      <c r="B16" s="231"/>
      <c r="C16" s="4"/>
      <c r="E16" s="2"/>
      <c r="F16" s="3"/>
      <c r="G16" s="5"/>
      <c r="H16" s="6"/>
      <c r="I16" s="11"/>
      <c r="J16" s="11"/>
      <c r="K16" s="6"/>
      <c r="L16" s="6"/>
      <c r="M16" s="6"/>
      <c r="N16" s="6"/>
      <c r="O16" s="6"/>
      <c r="P16" s="6"/>
      <c r="T16" s="769" t="s">
        <v>230</v>
      </c>
      <c r="U16" s="496" t="s">
        <v>231</v>
      </c>
      <c r="Z16" s="901"/>
      <c r="AA16" s="496" t="s">
        <v>262</v>
      </c>
    </row>
    <row r="17" spans="1:31" s="232" customFormat="1" x14ac:dyDescent="0.2">
      <c r="A17" s="3"/>
      <c r="B17" s="231"/>
      <c r="C17" s="233"/>
      <c r="E17" s="2"/>
      <c r="F17" s="3"/>
      <c r="G17" s="5"/>
      <c r="H17" s="6"/>
      <c r="I17" s="11"/>
      <c r="J17" s="11"/>
      <c r="K17" s="6"/>
      <c r="L17" s="6"/>
      <c r="M17" s="6"/>
      <c r="N17" s="6"/>
      <c r="O17" s="6"/>
      <c r="P17" s="6"/>
      <c r="U17" s="496" t="s">
        <v>232</v>
      </c>
      <c r="AA17" s="496" t="s">
        <v>263</v>
      </c>
    </row>
    <row r="18" spans="1:31" s="232" customFormat="1" ht="13.5" thickBot="1" x14ac:dyDescent="0.25">
      <c r="A18" s="3"/>
      <c r="B18" s="230"/>
      <c r="C18" s="229"/>
      <c r="E18" s="2"/>
      <c r="F18" s="229"/>
      <c r="G18" s="5"/>
      <c r="H18" s="6"/>
      <c r="I18" s="11"/>
      <c r="J18" s="11"/>
      <c r="K18" s="6"/>
      <c r="L18" s="6"/>
      <c r="M18" s="6"/>
      <c r="N18" s="6"/>
      <c r="O18" s="6"/>
      <c r="P18" s="6"/>
    </row>
    <row r="19" spans="1:31" s="232" customFormat="1" ht="16.5" thickBot="1" x14ac:dyDescent="0.3">
      <c r="A19" s="3"/>
      <c r="B19" s="748"/>
      <c r="C19" s="1513" t="s">
        <v>221</v>
      </c>
      <c r="D19" s="1514"/>
      <c r="E19" s="1514"/>
      <c r="F19" s="1514"/>
      <c r="G19" s="1514"/>
      <c r="H19" s="1514"/>
      <c r="I19" s="1514" t="s">
        <v>222</v>
      </c>
      <c r="J19" s="1514"/>
      <c r="K19" s="1514"/>
      <c r="L19" s="1514"/>
      <c r="M19" s="1515"/>
      <c r="N19" s="1516" t="s">
        <v>223</v>
      </c>
      <c r="O19" s="1517"/>
      <c r="P19" s="1517"/>
      <c r="Q19" s="1517"/>
      <c r="R19" s="1517"/>
      <c r="S19" s="1518"/>
      <c r="T19" s="1516" t="s">
        <v>224</v>
      </c>
      <c r="U19" s="1517"/>
      <c r="V19" s="1517"/>
      <c r="W19" s="1517"/>
      <c r="X19" s="1517"/>
      <c r="Y19" s="1518"/>
      <c r="Z19" s="1516" t="s">
        <v>226</v>
      </c>
      <c r="AA19" s="1517"/>
      <c r="AB19" s="1517"/>
      <c r="AC19" s="1517"/>
      <c r="AD19" s="1517"/>
      <c r="AE19" s="1518"/>
    </row>
    <row r="20" spans="1:31" s="232" customFormat="1" ht="13.5" thickBot="1" x14ac:dyDescent="0.25">
      <c r="A20" s="3"/>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1:31" s="232" customFormat="1" ht="13.5" thickBot="1" x14ac:dyDescent="0.25">
      <c r="A21" s="3"/>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1:31" s="232" customFormat="1" x14ac:dyDescent="0.2">
      <c r="A22" s="3"/>
      <c r="B22" s="527">
        <v>2007</v>
      </c>
      <c r="C22" s="1416">
        <v>138005</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1:31" s="232" customFormat="1" x14ac:dyDescent="0.2">
      <c r="A23" s="3"/>
      <c r="B23" s="523">
        <v>2008</v>
      </c>
      <c r="C23" s="1419">
        <v>138005</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1:31" s="232" customFormat="1" x14ac:dyDescent="0.2">
      <c r="A24" s="3"/>
      <c r="B24" s="523">
        <v>2009</v>
      </c>
      <c r="C24" s="1419">
        <v>138005</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1:31" s="232" customFormat="1" ht="13.5" thickBot="1" x14ac:dyDescent="0.25">
      <c r="A25" s="3"/>
      <c r="B25" s="525">
        <v>2010</v>
      </c>
      <c r="C25" s="1482">
        <v>138005</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1:31" s="232" customFormat="1" x14ac:dyDescent="0.2">
      <c r="A26" s="3"/>
      <c r="B26" s="527">
        <v>2011</v>
      </c>
      <c r="C26" s="1425">
        <v>138005</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1:31" s="232" customFormat="1" x14ac:dyDescent="0.2">
      <c r="A27" s="3"/>
      <c r="B27" s="523">
        <v>2012</v>
      </c>
      <c r="C27" s="1419">
        <v>138005</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1:31" s="232" customFormat="1" x14ac:dyDescent="0.2">
      <c r="A28" s="3"/>
      <c r="B28" s="523">
        <v>2013</v>
      </c>
      <c r="C28" s="1419">
        <v>138005</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1:31" s="232" customFormat="1" x14ac:dyDescent="0.2">
      <c r="A29" s="3"/>
      <c r="B29" s="523">
        <v>2014</v>
      </c>
      <c r="C29" s="1419">
        <v>138005</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1:31" s="232" customFormat="1" ht="13.5" thickBot="1" x14ac:dyDescent="0.25">
      <c r="A30" s="3"/>
      <c r="B30" s="525">
        <v>2015</v>
      </c>
      <c r="C30" s="1422">
        <v>138005</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1:31" s="232" customFormat="1" x14ac:dyDescent="0.2">
      <c r="A31" s="3"/>
      <c r="B31" s="527">
        <v>2016</v>
      </c>
      <c r="C31" s="1425">
        <v>138005</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1:31" s="232" customFormat="1" x14ac:dyDescent="0.2">
      <c r="A32" s="3"/>
      <c r="B32" s="523">
        <v>2017</v>
      </c>
      <c r="C32" s="1419">
        <v>138005</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1:31" s="232" customFormat="1" x14ac:dyDescent="0.2">
      <c r="A33" s="3"/>
      <c r="B33" s="523">
        <v>2018</v>
      </c>
      <c r="C33" s="1419">
        <v>138005</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1:31" s="232" customFormat="1" x14ac:dyDescent="0.2">
      <c r="A34" s="3"/>
      <c r="B34" s="523">
        <v>2019</v>
      </c>
      <c r="C34" s="1419">
        <v>138005</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1:31" s="232" customFormat="1" ht="13.5" thickBot="1" x14ac:dyDescent="0.25">
      <c r="A35" s="3"/>
      <c r="B35" s="525">
        <v>2020</v>
      </c>
      <c r="C35" s="1422">
        <v>138005</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1:31" s="232" customFormat="1" x14ac:dyDescent="0.2">
      <c r="A36" s="3"/>
      <c r="B36" s="527">
        <v>2021</v>
      </c>
      <c r="C36" s="1425">
        <v>138005</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6.3480818446503209</v>
      </c>
      <c r="O36" s="1453">
        <v>7.0993052255995961</v>
      </c>
      <c r="P36" s="1453">
        <v>7.5156853593019077</v>
      </c>
      <c r="Q36" s="1460">
        <v>15.112887032730717</v>
      </c>
      <c r="R36" s="1460">
        <v>9.5878651106727446</v>
      </c>
      <c r="S36" s="1461">
        <v>1</v>
      </c>
      <c r="T36" s="1455">
        <v>1</v>
      </c>
      <c r="U36" s="1456">
        <v>1</v>
      </c>
      <c r="V36" s="1456">
        <v>1</v>
      </c>
      <c r="W36" s="1456">
        <v>1</v>
      </c>
      <c r="X36" s="1456">
        <v>1</v>
      </c>
      <c r="Y36" s="1457">
        <v>1</v>
      </c>
      <c r="Z36" s="1455">
        <v>0</v>
      </c>
      <c r="AA36" s="1456">
        <v>0</v>
      </c>
      <c r="AB36" s="1456">
        <v>0</v>
      </c>
      <c r="AC36" s="1456">
        <v>293.45075177780529</v>
      </c>
      <c r="AD36" s="1456">
        <v>0</v>
      </c>
      <c r="AE36" s="1457">
        <v>0</v>
      </c>
    </row>
    <row r="37" spans="1:31" s="232" customFormat="1" x14ac:dyDescent="0.2">
      <c r="A37" s="3"/>
      <c r="B37" s="523">
        <v>2022</v>
      </c>
      <c r="C37" s="1419">
        <v>138005</v>
      </c>
      <c r="D37" s="1420">
        <v>1000000</v>
      </c>
      <c r="E37" s="1420">
        <v>1000000</v>
      </c>
      <c r="F37" s="1420">
        <v>1000000</v>
      </c>
      <c r="G37" s="1420">
        <v>1000000</v>
      </c>
      <c r="H37" s="1421">
        <v>1000000</v>
      </c>
      <c r="I37" s="1358">
        <f t="shared" si="6"/>
        <v>0</v>
      </c>
      <c r="J37" s="524">
        <f t="shared" si="5"/>
        <v>0</v>
      </c>
      <c r="K37" s="524">
        <f t="shared" si="5"/>
        <v>0</v>
      </c>
      <c r="L37" s="524">
        <f t="shared" si="5"/>
        <v>0</v>
      </c>
      <c r="M37" s="1363">
        <f t="shared" si="5"/>
        <v>0</v>
      </c>
      <c r="N37" s="1484">
        <v>6.4291000607445872</v>
      </c>
      <c r="O37" s="1441">
        <v>7.2136894142449801</v>
      </c>
      <c r="P37" s="1441">
        <v>7.6395690498981583</v>
      </c>
      <c r="Q37" s="1462">
        <v>15.252687173678117</v>
      </c>
      <c r="R37" s="1462">
        <v>9.701955009415812</v>
      </c>
      <c r="S37" s="1463">
        <v>1</v>
      </c>
      <c r="T37" s="1443">
        <v>1</v>
      </c>
      <c r="U37" s="1444">
        <v>1</v>
      </c>
      <c r="V37" s="1444">
        <v>1</v>
      </c>
      <c r="W37" s="1444">
        <v>1</v>
      </c>
      <c r="X37" s="1444">
        <v>1</v>
      </c>
      <c r="Y37" s="1445">
        <v>1</v>
      </c>
      <c r="Z37" s="1443">
        <v>0</v>
      </c>
      <c r="AA37" s="1444">
        <v>0</v>
      </c>
      <c r="AB37" s="1444">
        <v>0</v>
      </c>
      <c r="AC37" s="1444">
        <v>292.03812129765282</v>
      </c>
      <c r="AD37" s="1444">
        <v>0</v>
      </c>
      <c r="AE37" s="1445">
        <v>0</v>
      </c>
    </row>
    <row r="38" spans="1:31" s="232" customFormat="1" x14ac:dyDescent="0.2">
      <c r="A38" s="3"/>
      <c r="B38" s="523">
        <v>2023</v>
      </c>
      <c r="C38" s="1419">
        <v>138005</v>
      </c>
      <c r="D38" s="1420">
        <v>1000000</v>
      </c>
      <c r="E38" s="1420">
        <v>1000000</v>
      </c>
      <c r="F38" s="1420">
        <v>1000000</v>
      </c>
      <c r="G38" s="1420">
        <v>1000000</v>
      </c>
      <c r="H38" s="1421">
        <v>1000000</v>
      </c>
      <c r="I38" s="1358">
        <f t="shared" si="6"/>
        <v>0</v>
      </c>
      <c r="J38" s="524">
        <f t="shared" si="6"/>
        <v>0</v>
      </c>
      <c r="K38" s="524">
        <f t="shared" si="6"/>
        <v>0</v>
      </c>
      <c r="L38" s="524">
        <f t="shared" si="6"/>
        <v>0</v>
      </c>
      <c r="M38" s="1363">
        <f t="shared" si="6"/>
        <v>0</v>
      </c>
      <c r="N38" s="1484">
        <v>6.5254599640226782</v>
      </c>
      <c r="O38" s="1441">
        <v>7.3434224403624055</v>
      </c>
      <c r="P38" s="1441">
        <v>7.7800762848401535</v>
      </c>
      <c r="Q38" s="1462">
        <v>15.411246635012207</v>
      </c>
      <c r="R38" s="1462">
        <v>9.8313542558383702</v>
      </c>
      <c r="S38" s="1463">
        <v>1</v>
      </c>
      <c r="T38" s="1443">
        <v>1</v>
      </c>
      <c r="U38" s="1444">
        <v>1</v>
      </c>
      <c r="V38" s="1444">
        <v>1</v>
      </c>
      <c r="W38" s="1444">
        <v>1</v>
      </c>
      <c r="X38" s="1444">
        <v>1</v>
      </c>
      <c r="Y38" s="1445">
        <v>1</v>
      </c>
      <c r="Z38" s="1443">
        <v>0</v>
      </c>
      <c r="AA38" s="1444">
        <v>0</v>
      </c>
      <c r="AB38" s="1444">
        <v>0</v>
      </c>
      <c r="AC38" s="1444">
        <v>290.62549081750035</v>
      </c>
      <c r="AD38" s="1444">
        <v>0</v>
      </c>
      <c r="AE38" s="1445">
        <v>0</v>
      </c>
    </row>
    <row r="39" spans="1:31" s="232" customFormat="1" x14ac:dyDescent="0.2">
      <c r="A39" s="3"/>
      <c r="B39" s="523">
        <v>2024</v>
      </c>
      <c r="C39" s="1419">
        <v>138005</v>
      </c>
      <c r="D39" s="1420">
        <v>1000000</v>
      </c>
      <c r="E39" s="1420">
        <v>1000000</v>
      </c>
      <c r="F39" s="1420">
        <v>1000000</v>
      </c>
      <c r="G39" s="1420">
        <v>1000000</v>
      </c>
      <c r="H39" s="1421">
        <v>1000000</v>
      </c>
      <c r="I39" s="1358">
        <f t="shared" si="6"/>
        <v>0</v>
      </c>
      <c r="J39" s="524">
        <f t="shared" si="6"/>
        <v>0</v>
      </c>
      <c r="K39" s="524">
        <f t="shared" si="6"/>
        <v>0</v>
      </c>
      <c r="L39" s="524">
        <f t="shared" si="6"/>
        <v>0</v>
      </c>
      <c r="M39" s="1363">
        <f t="shared" si="6"/>
        <v>0</v>
      </c>
      <c r="N39" s="1484">
        <v>6.6581303524586453</v>
      </c>
      <c r="O39" s="1441">
        <v>7.5488374867043246</v>
      </c>
      <c r="P39" s="1441">
        <v>8.002550862368782</v>
      </c>
      <c r="Q39" s="1462">
        <v>15.662304519597519</v>
      </c>
      <c r="R39" s="1462">
        <v>10.036240806287292</v>
      </c>
      <c r="S39" s="1463">
        <v>1</v>
      </c>
      <c r="T39" s="1443">
        <v>1</v>
      </c>
      <c r="U39" s="1444">
        <v>1</v>
      </c>
      <c r="V39" s="1444">
        <v>1</v>
      </c>
      <c r="W39" s="1444">
        <v>1</v>
      </c>
      <c r="X39" s="1444">
        <v>1</v>
      </c>
      <c r="Y39" s="1445">
        <v>1</v>
      </c>
      <c r="Z39" s="1443">
        <v>0</v>
      </c>
      <c r="AA39" s="1444">
        <v>0</v>
      </c>
      <c r="AB39" s="1444">
        <v>0</v>
      </c>
      <c r="AC39" s="1444">
        <v>289.21286033734788</v>
      </c>
      <c r="AD39" s="1444">
        <v>0</v>
      </c>
      <c r="AE39" s="1445">
        <v>0</v>
      </c>
    </row>
    <row r="40" spans="1:31" s="232" customFormat="1" ht="13.5" thickBot="1" x14ac:dyDescent="0.25">
      <c r="A40" s="3"/>
      <c r="B40" s="525">
        <v>2025</v>
      </c>
      <c r="C40" s="1422">
        <v>138005</v>
      </c>
      <c r="D40" s="1423">
        <v>6997.0616326849868</v>
      </c>
      <c r="E40" s="1423">
        <v>15029.191529721053</v>
      </c>
      <c r="F40" s="1423">
        <v>327492.98570994998</v>
      </c>
      <c r="G40" s="1423">
        <v>99856.657580742802</v>
      </c>
      <c r="H40" s="1424">
        <v>1000000</v>
      </c>
      <c r="I40" s="1359">
        <f t="shared" si="6"/>
        <v>0</v>
      </c>
      <c r="J40" s="526">
        <f t="shared" si="6"/>
        <v>0</v>
      </c>
      <c r="K40" s="526">
        <f t="shared" si="6"/>
        <v>0</v>
      </c>
      <c r="L40" s="526">
        <f t="shared" si="6"/>
        <v>0</v>
      </c>
      <c r="M40" s="1364">
        <f t="shared" si="6"/>
        <v>0</v>
      </c>
      <c r="N40" s="1485">
        <v>6.8086034138932883</v>
      </c>
      <c r="O40" s="1447">
        <v>7.7794011409182842</v>
      </c>
      <c r="P40" s="1447">
        <v>8.2522626165862718</v>
      </c>
      <c r="Q40" s="1458">
        <v>15.944098985582571</v>
      </c>
      <c r="R40" s="1458">
        <v>10.266211261772648</v>
      </c>
      <c r="S40" s="1459">
        <v>1</v>
      </c>
      <c r="T40" s="1449">
        <v>1</v>
      </c>
      <c r="U40" s="1450">
        <v>1</v>
      </c>
      <c r="V40" s="1450">
        <v>1</v>
      </c>
      <c r="W40" s="1450">
        <v>1</v>
      </c>
      <c r="X40" s="1450">
        <v>1</v>
      </c>
      <c r="Y40" s="1451">
        <v>1</v>
      </c>
      <c r="Z40" s="1449">
        <v>0</v>
      </c>
      <c r="AA40" s="1450">
        <v>0</v>
      </c>
      <c r="AB40" s="1450">
        <v>0</v>
      </c>
      <c r="AC40" s="1450">
        <v>287.8002298571954</v>
      </c>
      <c r="AD40" s="1450">
        <v>0</v>
      </c>
      <c r="AE40" s="1451">
        <v>0</v>
      </c>
    </row>
    <row r="41" spans="1:31" s="232" customFormat="1" x14ac:dyDescent="0.2">
      <c r="A41" s="3"/>
      <c r="B41" s="527">
        <v>2026</v>
      </c>
      <c r="C41" s="1425">
        <v>138005</v>
      </c>
      <c r="D41" s="1426">
        <v>8819.5419510440479</v>
      </c>
      <c r="E41" s="1426">
        <v>16417.512751678489</v>
      </c>
      <c r="F41" s="1426">
        <v>295574.20167442027</v>
      </c>
      <c r="G41" s="1426">
        <v>91524.856671100715</v>
      </c>
      <c r="H41" s="1427">
        <v>1000000</v>
      </c>
      <c r="I41" s="1357">
        <f t="shared" si="6"/>
        <v>0</v>
      </c>
      <c r="J41" s="528">
        <f t="shared" si="6"/>
        <v>0</v>
      </c>
      <c r="K41" s="528">
        <f t="shared" si="6"/>
        <v>0</v>
      </c>
      <c r="L41" s="528">
        <f t="shared" si="6"/>
        <v>0</v>
      </c>
      <c r="M41" s="1362">
        <f t="shared" si="6"/>
        <v>0</v>
      </c>
      <c r="N41" s="1486">
        <v>6.9782165360518356</v>
      </c>
      <c r="O41" s="1453">
        <v>7.9565414156980392</v>
      </c>
      <c r="P41" s="1453">
        <v>8.4441142287088482</v>
      </c>
      <c r="Q41" s="1460">
        <v>16.160599497366114</v>
      </c>
      <c r="R41" s="1460">
        <v>10.442895786550773</v>
      </c>
      <c r="S41" s="1461">
        <v>1</v>
      </c>
      <c r="T41" s="1455">
        <v>1</v>
      </c>
      <c r="U41" s="1456">
        <v>1</v>
      </c>
      <c r="V41" s="1456">
        <v>1</v>
      </c>
      <c r="W41" s="1456">
        <v>1</v>
      </c>
      <c r="X41" s="1456">
        <v>1</v>
      </c>
      <c r="Y41" s="1457">
        <v>1</v>
      </c>
      <c r="Z41" s="1455">
        <v>0</v>
      </c>
      <c r="AA41" s="1456">
        <v>0</v>
      </c>
      <c r="AB41" s="1456">
        <v>0</v>
      </c>
      <c r="AC41" s="1456">
        <v>286.38759937704293</v>
      </c>
      <c r="AD41" s="1456">
        <v>0</v>
      </c>
      <c r="AE41" s="1457">
        <v>0</v>
      </c>
    </row>
    <row r="42" spans="1:31" s="232" customFormat="1" x14ac:dyDescent="0.2">
      <c r="A42" s="3"/>
      <c r="B42" s="523">
        <v>2027</v>
      </c>
      <c r="C42" s="1419">
        <v>138005</v>
      </c>
      <c r="D42" s="1420">
        <v>10700</v>
      </c>
      <c r="E42" s="1420">
        <v>17850</v>
      </c>
      <c r="F42" s="1420">
        <v>262640</v>
      </c>
      <c r="G42" s="1420">
        <v>82928</v>
      </c>
      <c r="H42" s="1421">
        <v>1000000</v>
      </c>
      <c r="I42" s="1358">
        <f t="shared" si="6"/>
        <v>0</v>
      </c>
      <c r="J42" s="524">
        <f t="shared" si="6"/>
        <v>0</v>
      </c>
      <c r="K42" s="524">
        <f t="shared" si="6"/>
        <v>0</v>
      </c>
      <c r="L42" s="524">
        <f t="shared" si="6"/>
        <v>0</v>
      </c>
      <c r="M42" s="1363">
        <f t="shared" si="6"/>
        <v>0</v>
      </c>
      <c r="N42" s="1484">
        <v>7.1454647701784486</v>
      </c>
      <c r="O42" s="1441">
        <v>8.1393169728046217</v>
      </c>
      <c r="P42" s="1441">
        <v>8.6420691281866731</v>
      </c>
      <c r="Q42" s="1462">
        <v>16.383987440646081</v>
      </c>
      <c r="R42" s="1462">
        <v>10.625201095089924</v>
      </c>
      <c r="S42" s="1463">
        <v>1</v>
      </c>
      <c r="T42" s="1443">
        <v>1</v>
      </c>
      <c r="U42" s="1444">
        <v>1</v>
      </c>
      <c r="V42" s="1444">
        <v>1</v>
      </c>
      <c r="W42" s="1444">
        <v>1</v>
      </c>
      <c r="X42" s="1444">
        <v>1</v>
      </c>
      <c r="Y42" s="1445">
        <v>1</v>
      </c>
      <c r="Z42" s="1443">
        <v>0</v>
      </c>
      <c r="AA42" s="1444">
        <v>0</v>
      </c>
      <c r="AB42" s="1444">
        <v>0</v>
      </c>
      <c r="AC42" s="1444">
        <v>284.97496889689052</v>
      </c>
      <c r="AD42" s="1444">
        <v>0</v>
      </c>
      <c r="AE42" s="1445">
        <v>0</v>
      </c>
    </row>
    <row r="43" spans="1:31" s="232" customFormat="1" x14ac:dyDescent="0.2">
      <c r="A43" s="3"/>
      <c r="B43" s="523">
        <v>2028</v>
      </c>
      <c r="C43" s="1419">
        <v>138718.45332461005</v>
      </c>
      <c r="D43" s="1420">
        <v>10903.606584415184</v>
      </c>
      <c r="E43" s="1420">
        <v>17897.396942601565</v>
      </c>
      <c r="F43" s="1420">
        <v>237377.83013090739</v>
      </c>
      <c r="G43" s="1420">
        <v>79682.37753190755</v>
      </c>
      <c r="H43" s="1421">
        <v>1000000</v>
      </c>
      <c r="I43" s="1358">
        <f t="shared" si="6"/>
        <v>0</v>
      </c>
      <c r="J43" s="524">
        <f t="shared" si="6"/>
        <v>0</v>
      </c>
      <c r="K43" s="524">
        <f t="shared" si="6"/>
        <v>0</v>
      </c>
      <c r="L43" s="524">
        <f t="shared" si="6"/>
        <v>0</v>
      </c>
      <c r="M43" s="1363">
        <f t="shared" si="6"/>
        <v>0</v>
      </c>
      <c r="N43" s="1484">
        <v>7.2213425095119215</v>
      </c>
      <c r="O43" s="1441">
        <v>8.47415891925362</v>
      </c>
      <c r="P43" s="1441">
        <v>9.0208301307657983</v>
      </c>
      <c r="Q43" s="1462">
        <v>16.904814257866995</v>
      </c>
      <c r="R43" s="1462">
        <v>10.945255294353959</v>
      </c>
      <c r="S43" s="1463">
        <v>1</v>
      </c>
      <c r="T43" s="1443">
        <v>1</v>
      </c>
      <c r="U43" s="1444">
        <v>1</v>
      </c>
      <c r="V43" s="1444">
        <v>1</v>
      </c>
      <c r="W43" s="1444">
        <v>1</v>
      </c>
      <c r="X43" s="1444">
        <v>1</v>
      </c>
      <c r="Y43" s="1445">
        <v>1</v>
      </c>
      <c r="Z43" s="1443">
        <v>0</v>
      </c>
      <c r="AA43" s="1444">
        <v>0</v>
      </c>
      <c r="AB43" s="1444">
        <v>0</v>
      </c>
      <c r="AC43" s="1444">
        <v>286.58561980123517</v>
      </c>
      <c r="AD43" s="1444">
        <v>0</v>
      </c>
      <c r="AE43" s="1445">
        <v>0</v>
      </c>
    </row>
    <row r="44" spans="1:31" s="232" customFormat="1" x14ac:dyDescent="0.2">
      <c r="A44" s="3"/>
      <c r="B44" s="523">
        <v>2029</v>
      </c>
      <c r="C44" s="1419">
        <v>139224.49553988935</v>
      </c>
      <c r="D44" s="1420">
        <v>11056.679072928076</v>
      </c>
      <c r="E44" s="1420">
        <v>17933.030210419322</v>
      </c>
      <c r="F44" s="1420">
        <v>218385.59951025047</v>
      </c>
      <c r="G44" s="1420">
        <v>77242.301689609696</v>
      </c>
      <c r="H44" s="1421">
        <v>1000000</v>
      </c>
      <c r="I44" s="1358">
        <f t="shared" si="6"/>
        <v>0</v>
      </c>
      <c r="J44" s="524">
        <f t="shared" si="6"/>
        <v>0</v>
      </c>
      <c r="K44" s="524">
        <f t="shared" si="6"/>
        <v>0</v>
      </c>
      <c r="L44" s="524">
        <f t="shared" si="6"/>
        <v>0</v>
      </c>
      <c r="M44" s="1363">
        <f t="shared" si="6"/>
        <v>0</v>
      </c>
      <c r="N44" s="1484">
        <v>7.2751615022591807</v>
      </c>
      <c r="O44" s="1441">
        <v>8.7258948351065779</v>
      </c>
      <c r="P44" s="1441">
        <v>9.3055846213091851</v>
      </c>
      <c r="Q44" s="1462">
        <v>17.296374566317951</v>
      </c>
      <c r="R44" s="1462">
        <v>11.185873705006369</v>
      </c>
      <c r="S44" s="1463">
        <v>1</v>
      </c>
      <c r="T44" s="1443">
        <v>1</v>
      </c>
      <c r="U44" s="1444">
        <v>1</v>
      </c>
      <c r="V44" s="1444">
        <v>1</v>
      </c>
      <c r="W44" s="1444">
        <v>1</v>
      </c>
      <c r="X44" s="1444">
        <v>1</v>
      </c>
      <c r="Y44" s="1445">
        <v>1</v>
      </c>
      <c r="Z44" s="1443">
        <v>0</v>
      </c>
      <c r="AA44" s="1444">
        <v>0</v>
      </c>
      <c r="AB44" s="1444">
        <v>0</v>
      </c>
      <c r="AC44" s="1444">
        <v>288.19627070557982</v>
      </c>
      <c r="AD44" s="1444">
        <v>0</v>
      </c>
      <c r="AE44" s="1445">
        <v>0</v>
      </c>
    </row>
    <row r="45" spans="1:31" s="232" customFormat="1" ht="13.5" thickBot="1" x14ac:dyDescent="0.25">
      <c r="A45" s="3"/>
      <c r="B45" s="525">
        <v>2030</v>
      </c>
      <c r="C45" s="1422">
        <v>139523.14024300172</v>
      </c>
      <c r="D45" s="1423">
        <v>11247.358954172012</v>
      </c>
      <c r="E45" s="1423">
        <v>17977.417986053151</v>
      </c>
      <c r="F45" s="1423">
        <v>194727.29020537995</v>
      </c>
      <c r="G45" s="1423">
        <v>74202.739346593662</v>
      </c>
      <c r="H45" s="1424">
        <v>1000000</v>
      </c>
      <c r="I45" s="1359">
        <f t="shared" si="6"/>
        <v>0</v>
      </c>
      <c r="J45" s="526">
        <f t="shared" si="6"/>
        <v>0</v>
      </c>
      <c r="K45" s="526">
        <f t="shared" si="6"/>
        <v>0</v>
      </c>
      <c r="L45" s="526">
        <f t="shared" si="6"/>
        <v>0</v>
      </c>
      <c r="M45" s="1364">
        <f t="shared" si="6"/>
        <v>0</v>
      </c>
      <c r="N45" s="1485">
        <v>7.306923194516302</v>
      </c>
      <c r="O45" s="1447">
        <v>9.0394781249975775</v>
      </c>
      <c r="P45" s="1447">
        <v>9.6602986066111036</v>
      </c>
      <c r="Q45" s="1458">
        <v>17.784134802272941</v>
      </c>
      <c r="R45" s="1458">
        <v>11.485608101526882</v>
      </c>
      <c r="S45" s="1459">
        <v>1</v>
      </c>
      <c r="T45" s="1449">
        <v>1</v>
      </c>
      <c r="U45" s="1450">
        <v>1</v>
      </c>
      <c r="V45" s="1450">
        <v>1</v>
      </c>
      <c r="W45" s="1450">
        <v>1</v>
      </c>
      <c r="X45" s="1450">
        <v>1</v>
      </c>
      <c r="Y45" s="1451">
        <v>1</v>
      </c>
      <c r="Z45" s="1449">
        <v>0</v>
      </c>
      <c r="AA45" s="1450">
        <v>0</v>
      </c>
      <c r="AB45" s="1450">
        <v>0</v>
      </c>
      <c r="AC45" s="1450">
        <v>289.80692160992447</v>
      </c>
      <c r="AD45" s="1450">
        <v>0</v>
      </c>
      <c r="AE45" s="1451">
        <v>0</v>
      </c>
    </row>
    <row r="46" spans="1:31" s="232" customFormat="1" x14ac:dyDescent="0.2">
      <c r="A46" s="3"/>
      <c r="B46" s="527">
        <v>2031</v>
      </c>
      <c r="C46" s="1425">
        <v>139576.09988215286</v>
      </c>
      <c r="D46" s="1426">
        <v>11427.596445520081</v>
      </c>
      <c r="E46" s="1426">
        <v>18019.374910268605</v>
      </c>
      <c r="F46" s="1426">
        <v>172364.60416410037</v>
      </c>
      <c r="G46" s="1426">
        <v>71329.635545986472</v>
      </c>
      <c r="H46" s="1427">
        <v>1000000</v>
      </c>
      <c r="I46" s="1357">
        <f t="shared" si="6"/>
        <v>0</v>
      </c>
      <c r="J46" s="528">
        <f t="shared" si="6"/>
        <v>0</v>
      </c>
      <c r="K46" s="528">
        <f t="shared" si="6"/>
        <v>0</v>
      </c>
      <c r="L46" s="528">
        <f t="shared" si="6"/>
        <v>0</v>
      </c>
      <c r="M46" s="1362">
        <f t="shared" si="6"/>
        <v>0</v>
      </c>
      <c r="N46" s="1486">
        <v>7.3125555989863509</v>
      </c>
      <c r="O46" s="1453">
        <v>9.3358883447329433</v>
      </c>
      <c r="P46" s="1453">
        <v>9.9955870410270293</v>
      </c>
      <c r="Q46" s="1460">
        <v>18.245183344648552</v>
      </c>
      <c r="R46" s="1460">
        <v>11.768927848461662</v>
      </c>
      <c r="S46" s="1461">
        <v>1</v>
      </c>
      <c r="T46" s="1455">
        <v>1</v>
      </c>
      <c r="U46" s="1456">
        <v>1</v>
      </c>
      <c r="V46" s="1456">
        <v>1</v>
      </c>
      <c r="W46" s="1456">
        <v>1</v>
      </c>
      <c r="X46" s="1456">
        <v>1</v>
      </c>
      <c r="Y46" s="1457">
        <v>1</v>
      </c>
      <c r="Z46" s="1455">
        <v>0</v>
      </c>
      <c r="AA46" s="1456">
        <v>0</v>
      </c>
      <c r="AB46" s="1456">
        <v>0</v>
      </c>
      <c r="AC46" s="1456">
        <v>291.41757251426912</v>
      </c>
      <c r="AD46" s="1456">
        <v>0</v>
      </c>
      <c r="AE46" s="1457">
        <v>0</v>
      </c>
    </row>
    <row r="47" spans="1:31" s="232" customFormat="1" x14ac:dyDescent="0.2">
      <c r="A47" s="3"/>
      <c r="B47" s="523">
        <v>2032</v>
      </c>
      <c r="C47" s="1419">
        <v>139629.10034424686</v>
      </c>
      <c r="D47" s="1426">
        <v>11558.602859557734</v>
      </c>
      <c r="E47" s="1426">
        <v>18049.871485339663</v>
      </c>
      <c r="F47" s="1426">
        <v>156110.18736876105</v>
      </c>
      <c r="G47" s="1426">
        <v>69241.307400381003</v>
      </c>
      <c r="H47" s="1427">
        <v>1000000</v>
      </c>
      <c r="I47" s="1358">
        <f t="shared" si="6"/>
        <v>0</v>
      </c>
      <c r="J47" s="529">
        <f t="shared" si="6"/>
        <v>0</v>
      </c>
      <c r="K47" s="524">
        <f t="shared" si="6"/>
        <v>0</v>
      </c>
      <c r="L47" s="529">
        <f t="shared" si="6"/>
        <v>0</v>
      </c>
      <c r="M47" s="1363">
        <f t="shared" si="6"/>
        <v>0</v>
      </c>
      <c r="N47" s="1486">
        <v>7.3181923450895683</v>
      </c>
      <c r="O47" s="1441">
        <v>9.5513354178208179</v>
      </c>
      <c r="P47" s="1441">
        <v>10.239292915607265</v>
      </c>
      <c r="Q47" s="1462">
        <v>18.580298507327285</v>
      </c>
      <c r="R47" s="1462">
        <v>11.974860053766838</v>
      </c>
      <c r="S47" s="1463">
        <v>1</v>
      </c>
      <c r="T47" s="1455">
        <v>1</v>
      </c>
      <c r="U47" s="1456">
        <v>1</v>
      </c>
      <c r="V47" s="1456">
        <v>1</v>
      </c>
      <c r="W47" s="1456">
        <v>1</v>
      </c>
      <c r="X47" s="1456">
        <v>1</v>
      </c>
      <c r="Y47" s="1457">
        <v>1</v>
      </c>
      <c r="Z47" s="1455">
        <v>0</v>
      </c>
      <c r="AA47" s="1456">
        <v>0</v>
      </c>
      <c r="AB47" s="1456">
        <v>0</v>
      </c>
      <c r="AC47" s="1456">
        <v>293.02822341861378</v>
      </c>
      <c r="AD47" s="1456">
        <v>0</v>
      </c>
      <c r="AE47" s="1457">
        <v>0</v>
      </c>
    </row>
    <row r="48" spans="1:31" s="232" customFormat="1" x14ac:dyDescent="0.2">
      <c r="A48" s="3"/>
      <c r="B48" s="523">
        <v>2033</v>
      </c>
      <c r="C48" s="1419">
        <v>139682.1416607514</v>
      </c>
      <c r="D48" s="1426">
        <v>11636.757837984853</v>
      </c>
      <c r="E48" s="1426">
        <v>18068.064939334174</v>
      </c>
      <c r="F48" s="1426">
        <v>146413.23013718586</v>
      </c>
      <c r="G48" s="1426">
        <v>67995.465795086551</v>
      </c>
      <c r="H48" s="1427">
        <v>1000000</v>
      </c>
      <c r="I48" s="1358">
        <f t="shared" si="6"/>
        <v>0</v>
      </c>
      <c r="J48" s="524">
        <f t="shared" si="6"/>
        <v>0</v>
      </c>
      <c r="K48" s="524">
        <f t="shared" si="6"/>
        <v>0</v>
      </c>
      <c r="L48" s="524">
        <f t="shared" si="6"/>
        <v>0</v>
      </c>
      <c r="M48" s="1363">
        <f t="shared" si="6"/>
        <v>0</v>
      </c>
      <c r="N48" s="1486">
        <v>7.3238334361726238</v>
      </c>
      <c r="O48" s="1441">
        <v>9.6798654708953897</v>
      </c>
      <c r="P48" s="1441">
        <v>10.384681425859187</v>
      </c>
      <c r="Q48" s="1462">
        <v>18.78021939289728</v>
      </c>
      <c r="R48" s="1462">
        <v>12.097713787160755</v>
      </c>
      <c r="S48" s="1463">
        <v>1</v>
      </c>
      <c r="T48" s="1455">
        <v>1</v>
      </c>
      <c r="U48" s="1456">
        <v>1</v>
      </c>
      <c r="V48" s="1456">
        <v>1</v>
      </c>
      <c r="W48" s="1456">
        <v>1</v>
      </c>
      <c r="X48" s="1456">
        <v>1</v>
      </c>
      <c r="Y48" s="1457">
        <v>1</v>
      </c>
      <c r="Z48" s="1455">
        <v>0</v>
      </c>
      <c r="AA48" s="1456">
        <v>0</v>
      </c>
      <c r="AB48" s="1456">
        <v>0</v>
      </c>
      <c r="AC48" s="1456">
        <v>294.63887432295843</v>
      </c>
      <c r="AD48" s="1456">
        <v>0</v>
      </c>
      <c r="AE48" s="1457">
        <v>0</v>
      </c>
    </row>
    <row r="49" spans="1:31" s="232" customFormat="1" x14ac:dyDescent="0.2">
      <c r="A49" s="3"/>
      <c r="B49" s="523">
        <v>2034</v>
      </c>
      <c r="C49" s="1419">
        <v>139735.22386315826</v>
      </c>
      <c r="D49" s="1426">
        <v>11678.008831726847</v>
      </c>
      <c r="E49" s="1426">
        <v>18077.667629680669</v>
      </c>
      <c r="F49" s="1426">
        <v>141295.07733199868</v>
      </c>
      <c r="G49" s="1426">
        <v>67337.897905007194</v>
      </c>
      <c r="H49" s="1427">
        <v>1000000</v>
      </c>
      <c r="I49" s="1358">
        <f t="shared" si="6"/>
        <v>0</v>
      </c>
      <c r="J49" s="524">
        <f t="shared" si="6"/>
        <v>0</v>
      </c>
      <c r="K49" s="524">
        <f t="shared" si="6"/>
        <v>0</v>
      </c>
      <c r="L49" s="524">
        <f t="shared" si="6"/>
        <v>0</v>
      </c>
      <c r="M49" s="1363">
        <f t="shared" si="6"/>
        <v>0</v>
      </c>
      <c r="N49" s="1486">
        <v>7.3294788755847629</v>
      </c>
      <c r="O49" s="1441">
        <v>9.7477049421836028</v>
      </c>
      <c r="P49" s="1441">
        <v>10.461418962574813</v>
      </c>
      <c r="Q49" s="1462">
        <v>18.885739672801552</v>
      </c>
      <c r="R49" s="1462">
        <v>12.162557239099508</v>
      </c>
      <c r="S49" s="1463">
        <v>1</v>
      </c>
      <c r="T49" s="1455">
        <v>1</v>
      </c>
      <c r="U49" s="1456">
        <v>1</v>
      </c>
      <c r="V49" s="1456">
        <v>1</v>
      </c>
      <c r="W49" s="1456">
        <v>1</v>
      </c>
      <c r="X49" s="1456">
        <v>1</v>
      </c>
      <c r="Y49" s="1457">
        <v>1</v>
      </c>
      <c r="Z49" s="1455">
        <v>0</v>
      </c>
      <c r="AA49" s="1456">
        <v>0</v>
      </c>
      <c r="AB49" s="1456">
        <v>0</v>
      </c>
      <c r="AC49" s="1456">
        <v>296.24952522730308</v>
      </c>
      <c r="AD49" s="1456">
        <v>0</v>
      </c>
      <c r="AE49" s="1457">
        <v>0</v>
      </c>
    </row>
    <row r="50" spans="1:31" s="232" customFormat="1" ht="13.5" thickBot="1" x14ac:dyDescent="0.25">
      <c r="A50" s="3"/>
      <c r="B50" s="530">
        <v>2035</v>
      </c>
      <c r="C50" s="1428">
        <v>139788.33333333334</v>
      </c>
      <c r="D50" s="1429">
        <v>11716.666666666657</v>
      </c>
      <c r="E50" s="1429">
        <v>18086.666666666657</v>
      </c>
      <c r="F50" s="1429">
        <v>136498.66666666666</v>
      </c>
      <c r="G50" s="1429">
        <v>66721.666666666657</v>
      </c>
      <c r="H50" s="1430">
        <v>1000000</v>
      </c>
      <c r="I50" s="1360">
        <f t="shared" si="6"/>
        <v>0</v>
      </c>
      <c r="J50" s="531">
        <f t="shared" si="6"/>
        <v>0</v>
      </c>
      <c r="K50" s="531">
        <f t="shared" si="6"/>
        <v>0</v>
      </c>
      <c r="L50" s="531">
        <f t="shared" si="6"/>
        <v>0</v>
      </c>
      <c r="M50" s="1365">
        <f t="shared" si="6"/>
        <v>0</v>
      </c>
      <c r="N50" s="1487">
        <v>7.3351272149996589</v>
      </c>
      <c r="O50" s="1447">
        <v>9.8112798247637976</v>
      </c>
      <c r="P50" s="1447">
        <v>10.533332552016905</v>
      </c>
      <c r="Q50" s="1458">
        <v>18.984626637533971</v>
      </c>
      <c r="R50" s="1458">
        <v>12.223324440919034</v>
      </c>
      <c r="S50" s="1459">
        <v>1</v>
      </c>
      <c r="T50" s="1465">
        <v>1</v>
      </c>
      <c r="U50" s="1466">
        <v>1</v>
      </c>
      <c r="V50" s="1466">
        <v>1</v>
      </c>
      <c r="W50" s="1466">
        <v>1</v>
      </c>
      <c r="X50" s="1466">
        <v>1</v>
      </c>
      <c r="Y50" s="1467">
        <v>1</v>
      </c>
      <c r="Z50" s="1465">
        <v>0</v>
      </c>
      <c r="AA50" s="1466">
        <v>0</v>
      </c>
      <c r="AB50" s="1466">
        <v>0</v>
      </c>
      <c r="AC50" s="1466">
        <v>297.86017613164762</v>
      </c>
      <c r="AD50" s="1466">
        <v>0</v>
      </c>
      <c r="AE50" s="1467">
        <v>0</v>
      </c>
    </row>
    <row r="51" spans="1:31" s="232" customFormat="1" x14ac:dyDescent="0.2">
      <c r="A51" s="3"/>
      <c r="B51" s="532">
        <v>2036</v>
      </c>
      <c r="C51" s="1416">
        <v>139788.33333333334</v>
      </c>
      <c r="D51" s="1417">
        <v>11739.062799073135</v>
      </c>
      <c r="E51" s="1417">
        <v>18025.263936985564</v>
      </c>
      <c r="F51" s="1417">
        <v>132232.87532720482</v>
      </c>
      <c r="G51" s="1417">
        <v>65162.223967203601</v>
      </c>
      <c r="H51" s="1418">
        <v>1000000</v>
      </c>
      <c r="I51" s="1361">
        <f t="shared" si="6"/>
        <v>0</v>
      </c>
      <c r="J51" s="533">
        <f t="shared" si="6"/>
        <v>0</v>
      </c>
      <c r="K51" s="533">
        <f t="shared" si="6"/>
        <v>0</v>
      </c>
      <c r="L51" s="533">
        <f t="shared" si="6"/>
        <v>0</v>
      </c>
      <c r="M51" s="1366">
        <f t="shared" si="6"/>
        <v>0</v>
      </c>
      <c r="N51" s="1483">
        <v>7.3355433916329638</v>
      </c>
      <c r="O51" s="1435">
        <v>9.9013871684490748</v>
      </c>
      <c r="P51" s="1435">
        <v>10.6819243189875</v>
      </c>
      <c r="Q51" s="1468">
        <v>19.250275579346837</v>
      </c>
      <c r="R51" s="1468">
        <v>12.417889275516739</v>
      </c>
      <c r="S51" s="1469">
        <v>1</v>
      </c>
      <c r="T51" s="1437">
        <v>1</v>
      </c>
      <c r="U51" s="1438">
        <v>1</v>
      </c>
      <c r="V51" s="1438">
        <v>1</v>
      </c>
      <c r="W51" s="1438">
        <v>1</v>
      </c>
      <c r="X51" s="1438">
        <v>1</v>
      </c>
      <c r="Y51" s="1439">
        <v>1</v>
      </c>
      <c r="Z51" s="1437">
        <v>0</v>
      </c>
      <c r="AA51" s="1438">
        <v>0</v>
      </c>
      <c r="AB51" s="1438">
        <v>0</v>
      </c>
      <c r="AC51" s="1438">
        <v>299.70549546891095</v>
      </c>
      <c r="AD51" s="1438">
        <v>0</v>
      </c>
      <c r="AE51" s="1439">
        <v>0</v>
      </c>
    </row>
    <row r="52" spans="1:31" s="232" customFormat="1" x14ac:dyDescent="0.2">
      <c r="A52" s="3"/>
      <c r="B52" s="523">
        <v>2037</v>
      </c>
      <c r="C52" s="1419">
        <v>139788.33333333334</v>
      </c>
      <c r="D52" s="1420">
        <v>11752.718656771061</v>
      </c>
      <c r="E52" s="1420">
        <v>17987.824127130414</v>
      </c>
      <c r="F52" s="1420">
        <v>129631.84411148069</v>
      </c>
      <c r="G52" s="1420">
        <v>64211.366595696949</v>
      </c>
      <c r="H52" s="1421">
        <v>1000000</v>
      </c>
      <c r="I52" s="1358">
        <f t="shared" si="6"/>
        <v>0</v>
      </c>
      <c r="J52" s="524">
        <f t="shared" si="6"/>
        <v>0</v>
      </c>
      <c r="K52" s="524">
        <f t="shared" si="6"/>
        <v>0</v>
      </c>
      <c r="L52" s="524">
        <f t="shared" si="6"/>
        <v>0</v>
      </c>
      <c r="M52" s="1363">
        <f t="shared" si="6"/>
        <v>0</v>
      </c>
      <c r="N52" s="1484">
        <v>7.3359595682662686</v>
      </c>
      <c r="O52" s="1441">
        <v>9.9563293808173317</v>
      </c>
      <c r="P52" s="1441">
        <v>10.772526927866835</v>
      </c>
      <c r="Q52" s="1462">
        <v>19.412252838686136</v>
      </c>
      <c r="R52" s="1462">
        <v>12.536523584604787</v>
      </c>
      <c r="S52" s="1463">
        <v>1</v>
      </c>
      <c r="T52" s="1443">
        <v>1</v>
      </c>
      <c r="U52" s="1444">
        <v>1</v>
      </c>
      <c r="V52" s="1444">
        <v>1</v>
      </c>
      <c r="W52" s="1444">
        <v>1</v>
      </c>
      <c r="X52" s="1444">
        <v>1</v>
      </c>
      <c r="Y52" s="1445">
        <v>1</v>
      </c>
      <c r="Z52" s="1443">
        <v>0</v>
      </c>
      <c r="AA52" s="1444">
        <v>0</v>
      </c>
      <c r="AB52" s="1444">
        <v>0</v>
      </c>
      <c r="AC52" s="1444">
        <v>301.55081480617429</v>
      </c>
      <c r="AD52" s="1444">
        <v>0</v>
      </c>
      <c r="AE52" s="1445">
        <v>0</v>
      </c>
    </row>
    <row r="53" spans="1:31" s="232" customFormat="1" x14ac:dyDescent="0.2">
      <c r="A53" s="3"/>
      <c r="B53" s="523">
        <v>2038</v>
      </c>
      <c r="C53" s="1419">
        <v>139788.33333333334</v>
      </c>
      <c r="D53" s="1420">
        <v>11773.876345606122</v>
      </c>
      <c r="E53" s="1420">
        <v>17929.81679690762</v>
      </c>
      <c r="F53" s="1420">
        <v>125601.93911906665</v>
      </c>
      <c r="G53" s="1420">
        <v>62738.156722111649</v>
      </c>
      <c r="H53" s="1421">
        <v>1000000</v>
      </c>
      <c r="I53" s="1358">
        <f t="shared" si="6"/>
        <v>0</v>
      </c>
      <c r="J53" s="524">
        <f t="shared" si="6"/>
        <v>0</v>
      </c>
      <c r="K53" s="524">
        <f t="shared" si="6"/>
        <v>0</v>
      </c>
      <c r="L53" s="524">
        <f t="shared" si="6"/>
        <v>0</v>
      </c>
      <c r="M53" s="1363">
        <f t="shared" si="6"/>
        <v>0</v>
      </c>
      <c r="N53" s="1484">
        <v>7.3363757448995734</v>
      </c>
      <c r="O53" s="1441">
        <v>10.041454040059637</v>
      </c>
      <c r="P53" s="1441">
        <v>10.912901985129238</v>
      </c>
      <c r="Q53" s="1462">
        <v>19.663212135953646</v>
      </c>
      <c r="R53" s="1462">
        <v>12.720329527253735</v>
      </c>
      <c r="S53" s="1463">
        <v>1</v>
      </c>
      <c r="T53" s="1443">
        <v>1</v>
      </c>
      <c r="U53" s="1444">
        <v>1</v>
      </c>
      <c r="V53" s="1444">
        <v>1</v>
      </c>
      <c r="W53" s="1444">
        <v>1</v>
      </c>
      <c r="X53" s="1444">
        <v>1</v>
      </c>
      <c r="Y53" s="1445">
        <v>1</v>
      </c>
      <c r="Z53" s="1443">
        <v>0</v>
      </c>
      <c r="AA53" s="1444">
        <v>0</v>
      </c>
      <c r="AB53" s="1444">
        <v>0</v>
      </c>
      <c r="AC53" s="1444">
        <v>303.39613414343762</v>
      </c>
      <c r="AD53" s="1444">
        <v>0</v>
      </c>
      <c r="AE53" s="1445">
        <v>0</v>
      </c>
    </row>
    <row r="54" spans="1:31" s="232" customFormat="1" x14ac:dyDescent="0.2">
      <c r="A54" s="3"/>
      <c r="B54" s="523">
        <v>2039</v>
      </c>
      <c r="C54" s="1419">
        <v>139788.33333333334</v>
      </c>
      <c r="D54" s="1420">
        <v>11805.494985485671</v>
      </c>
      <c r="E54" s="1420">
        <v>17843.129025904527</v>
      </c>
      <c r="F54" s="1420">
        <v>119579.5367812092</v>
      </c>
      <c r="G54" s="1420">
        <v>60536.55082729875</v>
      </c>
      <c r="H54" s="1421">
        <v>1000000</v>
      </c>
      <c r="I54" s="1358">
        <f t="shared" si="6"/>
        <v>0</v>
      </c>
      <c r="J54" s="524">
        <f t="shared" si="6"/>
        <v>0</v>
      </c>
      <c r="K54" s="524">
        <f t="shared" si="6"/>
        <v>0</v>
      </c>
      <c r="L54" s="524">
        <f t="shared" si="6"/>
        <v>0</v>
      </c>
      <c r="M54" s="1363">
        <f t="shared" si="6"/>
        <v>0</v>
      </c>
      <c r="N54" s="1484">
        <v>7.3367919215328783</v>
      </c>
      <c r="O54" s="1441">
        <v>10.16866670333463</v>
      </c>
      <c r="P54" s="1441">
        <v>11.12268238308536</v>
      </c>
      <c r="Q54" s="1462">
        <v>20.038252704258845</v>
      </c>
      <c r="R54" s="1462">
        <v>12.995014250790607</v>
      </c>
      <c r="S54" s="1463">
        <v>1</v>
      </c>
      <c r="T54" s="1443">
        <v>1</v>
      </c>
      <c r="U54" s="1444">
        <v>1</v>
      </c>
      <c r="V54" s="1444">
        <v>1</v>
      </c>
      <c r="W54" s="1444">
        <v>1</v>
      </c>
      <c r="X54" s="1444">
        <v>1</v>
      </c>
      <c r="Y54" s="1445">
        <v>1</v>
      </c>
      <c r="Z54" s="1443">
        <v>0</v>
      </c>
      <c r="AA54" s="1444">
        <v>0</v>
      </c>
      <c r="AB54" s="1444">
        <v>0</v>
      </c>
      <c r="AC54" s="1444">
        <v>305.24145348070095</v>
      </c>
      <c r="AD54" s="1444">
        <v>0</v>
      </c>
      <c r="AE54" s="1445">
        <v>0</v>
      </c>
    </row>
    <row r="55" spans="1:31" s="232" customFormat="1" ht="13.5" thickBot="1" x14ac:dyDescent="0.25">
      <c r="A55" s="3"/>
      <c r="B55" s="525">
        <v>2040</v>
      </c>
      <c r="C55" s="1422">
        <v>139788.33333333334</v>
      </c>
      <c r="D55" s="1423">
        <v>11850.286749961842</v>
      </c>
      <c r="E55" s="1423">
        <v>17720.324938299025</v>
      </c>
      <c r="F55" s="1423">
        <v>111048.04940143277</v>
      </c>
      <c r="G55" s="1423">
        <v>57417.700266822896</v>
      </c>
      <c r="H55" s="1424">
        <v>1000000</v>
      </c>
      <c r="I55" s="1359">
        <f t="shared" si="6"/>
        <v>0</v>
      </c>
      <c r="J55" s="526">
        <f t="shared" si="6"/>
        <v>0</v>
      </c>
      <c r="K55" s="526">
        <f t="shared" si="6"/>
        <v>0</v>
      </c>
      <c r="L55" s="526">
        <f t="shared" si="6"/>
        <v>0</v>
      </c>
      <c r="M55" s="1364">
        <f t="shared" si="6"/>
        <v>0</v>
      </c>
      <c r="N55" s="1485">
        <v>7.3372080981661831</v>
      </c>
      <c r="O55" s="1447">
        <v>10.348879377678212</v>
      </c>
      <c r="P55" s="1447">
        <v>11.419862597438796</v>
      </c>
      <c r="Q55" s="1458">
        <v>20.56954465320198</v>
      </c>
      <c r="R55" s="1458">
        <v>13.384139573345184</v>
      </c>
      <c r="S55" s="1459">
        <v>1</v>
      </c>
      <c r="T55" s="1449">
        <v>1</v>
      </c>
      <c r="U55" s="1450">
        <v>1</v>
      </c>
      <c r="V55" s="1450">
        <v>1</v>
      </c>
      <c r="W55" s="1450">
        <v>1</v>
      </c>
      <c r="X55" s="1450">
        <v>1</v>
      </c>
      <c r="Y55" s="1451">
        <v>1</v>
      </c>
      <c r="Z55" s="1449">
        <v>0</v>
      </c>
      <c r="AA55" s="1450">
        <v>0</v>
      </c>
      <c r="AB55" s="1450">
        <v>0</v>
      </c>
      <c r="AC55" s="1450">
        <v>307.08677281796429</v>
      </c>
      <c r="AD55" s="1450">
        <v>0</v>
      </c>
      <c r="AE55" s="1451">
        <v>0</v>
      </c>
    </row>
    <row r="56" spans="1:31" s="232" customFormat="1" x14ac:dyDescent="0.2">
      <c r="A56" s="3"/>
      <c r="B56" s="532">
        <v>2041</v>
      </c>
      <c r="C56" s="1416">
        <v>139788.33333333334</v>
      </c>
      <c r="D56" s="1417">
        <v>11909.159447161421</v>
      </c>
      <c r="E56" s="1417">
        <v>17558.91562681018</v>
      </c>
      <c r="F56" s="1417">
        <v>99834.566765828989</v>
      </c>
      <c r="G56" s="1417">
        <v>53318.394360816237</v>
      </c>
      <c r="H56" s="1418">
        <v>1000000</v>
      </c>
      <c r="I56" s="1361">
        <f t="shared" si="6"/>
        <v>0</v>
      </c>
      <c r="J56" s="533">
        <f t="shared" si="6"/>
        <v>0</v>
      </c>
      <c r="K56" s="533">
        <f t="shared" si="6"/>
        <v>0</v>
      </c>
      <c r="L56" s="533">
        <f t="shared" si="6"/>
        <v>0</v>
      </c>
      <c r="M56" s="1366">
        <f t="shared" si="6"/>
        <v>0</v>
      </c>
      <c r="N56" s="1483">
        <v>7.337624274799488</v>
      </c>
      <c r="O56" s="1453">
        <v>10.585744487419539</v>
      </c>
      <c r="P56" s="1453">
        <v>11.810465668738725</v>
      </c>
      <c r="Q56" s="1453">
        <v>21.267855836083442</v>
      </c>
      <c r="R56" s="1453">
        <v>13.895592014555239</v>
      </c>
      <c r="S56" s="1454">
        <v>1</v>
      </c>
      <c r="T56" s="1437">
        <v>1</v>
      </c>
      <c r="U56" s="1438">
        <v>1</v>
      </c>
      <c r="V56" s="1438">
        <v>1</v>
      </c>
      <c r="W56" s="1438">
        <v>1</v>
      </c>
      <c r="X56" s="1438">
        <v>1</v>
      </c>
      <c r="Y56" s="1439">
        <v>1</v>
      </c>
      <c r="Z56" s="1437">
        <v>0</v>
      </c>
      <c r="AA56" s="1438">
        <v>0</v>
      </c>
      <c r="AB56" s="1438">
        <v>0</v>
      </c>
      <c r="AC56" s="1438">
        <v>308.93209215522762</v>
      </c>
      <c r="AD56" s="1438">
        <v>0</v>
      </c>
      <c r="AE56" s="1439">
        <v>0</v>
      </c>
    </row>
    <row r="57" spans="1:31" s="232" customFormat="1" x14ac:dyDescent="0.2">
      <c r="A57" s="3"/>
      <c r="B57" s="523">
        <v>2042</v>
      </c>
      <c r="C57" s="1419">
        <v>139788.33333333334</v>
      </c>
      <c r="D57" s="1420">
        <v>11979.360766135178</v>
      </c>
      <c r="E57" s="1420">
        <v>17366.447010623797</v>
      </c>
      <c r="F57" s="1420">
        <v>86463.321540897479</v>
      </c>
      <c r="G57" s="1420">
        <v>48430.276520673549</v>
      </c>
      <c r="H57" s="1421">
        <v>1000000</v>
      </c>
      <c r="I57" s="1358">
        <f t="shared" si="6"/>
        <v>0</v>
      </c>
      <c r="J57" s="524">
        <f t="shared" si="6"/>
        <v>0</v>
      </c>
      <c r="K57" s="524">
        <f t="shared" si="6"/>
        <v>0</v>
      </c>
      <c r="L57" s="524">
        <f t="shared" si="6"/>
        <v>0</v>
      </c>
      <c r="M57" s="1363">
        <f t="shared" si="6"/>
        <v>0</v>
      </c>
      <c r="N57" s="1484">
        <v>7.3380404514327937</v>
      </c>
      <c r="O57" s="1441">
        <v>10.868188538969189</v>
      </c>
      <c r="P57" s="1441">
        <v>12.276230821429088</v>
      </c>
      <c r="Q57" s="1441">
        <v>22.100540058554461</v>
      </c>
      <c r="R57" s="1441">
        <v>14.505461065459716</v>
      </c>
      <c r="S57" s="1442">
        <v>1</v>
      </c>
      <c r="T57" s="1443">
        <v>1</v>
      </c>
      <c r="U57" s="1444">
        <v>1</v>
      </c>
      <c r="V57" s="1444">
        <v>1</v>
      </c>
      <c r="W57" s="1444">
        <v>1</v>
      </c>
      <c r="X57" s="1444">
        <v>1</v>
      </c>
      <c r="Y57" s="1445">
        <v>1</v>
      </c>
      <c r="Z57" s="1443">
        <v>0</v>
      </c>
      <c r="AA57" s="1444">
        <v>0</v>
      </c>
      <c r="AB57" s="1444">
        <v>0</v>
      </c>
      <c r="AC57" s="1444">
        <v>310.77741149249096</v>
      </c>
      <c r="AD57" s="1444">
        <v>0</v>
      </c>
      <c r="AE57" s="1445">
        <v>0</v>
      </c>
    </row>
    <row r="58" spans="1:31" s="232" customFormat="1" x14ac:dyDescent="0.2">
      <c r="A58" s="3"/>
      <c r="B58" s="523">
        <v>2043</v>
      </c>
      <c r="C58" s="1419">
        <v>139788.33333333334</v>
      </c>
      <c r="D58" s="1420">
        <v>12053.972567198136</v>
      </c>
      <c r="E58" s="1420">
        <v>17161.886322709517</v>
      </c>
      <c r="F58" s="1420">
        <v>72252.011792435951</v>
      </c>
      <c r="G58" s="1420">
        <v>43235.056812659808</v>
      </c>
      <c r="H58" s="1421">
        <v>1000000</v>
      </c>
      <c r="I58" s="1358">
        <f t="shared" si="6"/>
        <v>0</v>
      </c>
      <c r="J58" s="524">
        <f t="shared" si="6"/>
        <v>0</v>
      </c>
      <c r="K58" s="524">
        <f t="shared" si="6"/>
        <v>0</v>
      </c>
      <c r="L58" s="524">
        <f t="shared" si="6"/>
        <v>0</v>
      </c>
      <c r="M58" s="1363">
        <f t="shared" si="6"/>
        <v>0</v>
      </c>
      <c r="N58" s="1484">
        <v>7.3384566280660994</v>
      </c>
      <c r="O58" s="1441">
        <v>11.168377476922283</v>
      </c>
      <c r="P58" s="1441">
        <v>12.771258228643232</v>
      </c>
      <c r="Q58" s="1441">
        <v>22.985538666322732</v>
      </c>
      <c r="R58" s="1441">
        <v>15.15364587118324</v>
      </c>
      <c r="S58" s="1442">
        <v>1</v>
      </c>
      <c r="T58" s="1443">
        <v>1</v>
      </c>
      <c r="U58" s="1444">
        <v>1</v>
      </c>
      <c r="V58" s="1444">
        <v>1</v>
      </c>
      <c r="W58" s="1444">
        <v>1</v>
      </c>
      <c r="X58" s="1444">
        <v>1</v>
      </c>
      <c r="Y58" s="1445">
        <v>1</v>
      </c>
      <c r="Z58" s="1443">
        <v>0</v>
      </c>
      <c r="AA58" s="1444">
        <v>0</v>
      </c>
      <c r="AB58" s="1444">
        <v>0</v>
      </c>
      <c r="AC58" s="1444">
        <v>312.62273082975429</v>
      </c>
      <c r="AD58" s="1444">
        <v>0</v>
      </c>
      <c r="AE58" s="1445">
        <v>0</v>
      </c>
    </row>
    <row r="59" spans="1:31" s="232" customFormat="1" x14ac:dyDescent="0.2">
      <c r="A59" s="3"/>
      <c r="B59" s="523">
        <v>2044</v>
      </c>
      <c r="C59" s="1419">
        <v>139788.33333333334</v>
      </c>
      <c r="D59" s="1420">
        <v>12124.173886171891</v>
      </c>
      <c r="E59" s="1420">
        <v>16969.417706523138</v>
      </c>
      <c r="F59" s="1420">
        <v>58880.766567504499</v>
      </c>
      <c r="G59" s="1420">
        <v>38346.93897251712</v>
      </c>
      <c r="H59" s="1421">
        <v>1000000</v>
      </c>
      <c r="I59" s="1358">
        <f t="shared" si="6"/>
        <v>0</v>
      </c>
      <c r="J59" s="524">
        <f t="shared" si="6"/>
        <v>0</v>
      </c>
      <c r="K59" s="524">
        <f t="shared" si="6"/>
        <v>0</v>
      </c>
      <c r="L59" s="524">
        <f t="shared" si="6"/>
        <v>0</v>
      </c>
      <c r="M59" s="1363">
        <f t="shared" si="6"/>
        <v>0</v>
      </c>
      <c r="N59" s="1484">
        <v>7.3388728046994043</v>
      </c>
      <c r="O59" s="1441">
        <v>11.450821528471934</v>
      </c>
      <c r="P59" s="1441">
        <v>13.237023381333595</v>
      </c>
      <c r="Q59" s="1441">
        <v>23.818222888793748</v>
      </c>
      <c r="R59" s="1441">
        <v>15.763514922087717</v>
      </c>
      <c r="S59" s="1442">
        <v>1</v>
      </c>
      <c r="T59" s="1443">
        <v>1</v>
      </c>
      <c r="U59" s="1444">
        <v>1</v>
      </c>
      <c r="V59" s="1444">
        <v>1</v>
      </c>
      <c r="W59" s="1444">
        <v>1</v>
      </c>
      <c r="X59" s="1444">
        <v>1</v>
      </c>
      <c r="Y59" s="1445">
        <v>1</v>
      </c>
      <c r="Z59" s="1443">
        <v>0</v>
      </c>
      <c r="AA59" s="1444">
        <v>0</v>
      </c>
      <c r="AB59" s="1444">
        <v>0</v>
      </c>
      <c r="AC59" s="1444">
        <v>314.46805016701762</v>
      </c>
      <c r="AD59" s="1444">
        <v>0</v>
      </c>
      <c r="AE59" s="1445">
        <v>0</v>
      </c>
    </row>
    <row r="60" spans="1:31" s="232" customFormat="1" ht="13.5" thickBot="1" x14ac:dyDescent="0.25">
      <c r="A60" s="3"/>
      <c r="B60" s="525">
        <v>2045</v>
      </c>
      <c r="C60" s="1422">
        <v>139788.33333333334</v>
      </c>
      <c r="D60" s="1423">
        <v>12183.046583371472</v>
      </c>
      <c r="E60" s="1423">
        <v>16808.008395034289</v>
      </c>
      <c r="F60" s="1423">
        <v>47667.283931900587</v>
      </c>
      <c r="G60" s="1423">
        <v>34247.633066510432</v>
      </c>
      <c r="H60" s="1424">
        <v>1000000</v>
      </c>
      <c r="I60" s="1359">
        <f t="shared" si="6"/>
        <v>0</v>
      </c>
      <c r="J60" s="526">
        <f t="shared" si="6"/>
        <v>0</v>
      </c>
      <c r="K60" s="526">
        <f t="shared" si="6"/>
        <v>0</v>
      </c>
      <c r="L60" s="526">
        <f t="shared" si="6"/>
        <v>0</v>
      </c>
      <c r="M60" s="1364">
        <f t="shared" si="6"/>
        <v>0</v>
      </c>
      <c r="N60" s="1485">
        <v>7.3392889813327091</v>
      </c>
      <c r="O60" s="1447">
        <v>11.687686638213263</v>
      </c>
      <c r="P60" s="1447">
        <v>13.627626452633526</v>
      </c>
      <c r="Q60" s="1447">
        <v>24.516534071675217</v>
      </c>
      <c r="R60" s="1447">
        <v>16.274967363297776</v>
      </c>
      <c r="S60" s="1448">
        <v>1</v>
      </c>
      <c r="T60" s="1449">
        <v>1</v>
      </c>
      <c r="U60" s="1450">
        <v>1</v>
      </c>
      <c r="V60" s="1450">
        <v>1</v>
      </c>
      <c r="W60" s="1450">
        <v>1</v>
      </c>
      <c r="X60" s="1450">
        <v>1</v>
      </c>
      <c r="Y60" s="1451">
        <v>1</v>
      </c>
      <c r="Z60" s="1449">
        <v>0</v>
      </c>
      <c r="AA60" s="1450">
        <v>0</v>
      </c>
      <c r="AB60" s="1450">
        <v>0</v>
      </c>
      <c r="AC60" s="1450">
        <v>316.31336950428096</v>
      </c>
      <c r="AD60" s="1450">
        <v>0</v>
      </c>
      <c r="AE60" s="1451">
        <v>0</v>
      </c>
    </row>
    <row r="61" spans="1:31" s="232" customFormat="1" x14ac:dyDescent="0.2">
      <c r="A61" s="3"/>
      <c r="B61" s="532">
        <v>2046</v>
      </c>
      <c r="C61" s="1416">
        <v>139788.33333333334</v>
      </c>
      <c r="D61" s="1417">
        <v>12227.838347847643</v>
      </c>
      <c r="E61" s="1417">
        <v>16685.204307428787</v>
      </c>
      <c r="F61" s="1417">
        <v>39135.796552124186</v>
      </c>
      <c r="G61" s="1417">
        <v>31128.782506034571</v>
      </c>
      <c r="H61" s="1418">
        <v>1000000</v>
      </c>
      <c r="I61" s="1361">
        <f t="shared" si="6"/>
        <v>0</v>
      </c>
      <c r="J61" s="533">
        <f t="shared" si="6"/>
        <v>0</v>
      </c>
      <c r="K61" s="533">
        <f t="shared" si="6"/>
        <v>0</v>
      </c>
      <c r="L61" s="533">
        <f t="shared" si="6"/>
        <v>0</v>
      </c>
      <c r="M61" s="1366">
        <f t="shared" si="6"/>
        <v>0</v>
      </c>
      <c r="N61" s="1483">
        <v>7.3397051579660149</v>
      </c>
      <c r="O61" s="1435">
        <v>11.867899312556846</v>
      </c>
      <c r="P61" s="1435">
        <v>13.924806666986962</v>
      </c>
      <c r="Q61" s="1435">
        <v>25.047826020618352</v>
      </c>
      <c r="R61" s="1435">
        <v>16.664092685852353</v>
      </c>
      <c r="S61" s="1436">
        <v>1</v>
      </c>
      <c r="T61" s="1437">
        <v>1</v>
      </c>
      <c r="U61" s="1438">
        <v>1</v>
      </c>
      <c r="V61" s="1438">
        <v>1</v>
      </c>
      <c r="W61" s="1438">
        <v>1</v>
      </c>
      <c r="X61" s="1438">
        <v>1</v>
      </c>
      <c r="Y61" s="1439">
        <v>1</v>
      </c>
      <c r="Z61" s="1437">
        <v>0</v>
      </c>
      <c r="AA61" s="1438">
        <v>0</v>
      </c>
      <c r="AB61" s="1438">
        <v>0</v>
      </c>
      <c r="AC61" s="1438">
        <v>318.15868884154429</v>
      </c>
      <c r="AD61" s="1438">
        <v>0</v>
      </c>
      <c r="AE61" s="1439">
        <v>0</v>
      </c>
    </row>
    <row r="62" spans="1:31" s="232" customFormat="1" x14ac:dyDescent="0.2">
      <c r="A62" s="3"/>
      <c r="B62" s="523">
        <v>2047</v>
      </c>
      <c r="C62" s="1419">
        <v>139788.33333333334</v>
      </c>
      <c r="D62" s="1420">
        <v>12259.456987727192</v>
      </c>
      <c r="E62" s="1420">
        <v>16598.516536425694</v>
      </c>
      <c r="F62" s="1420">
        <v>33113.394214266766</v>
      </c>
      <c r="G62" s="1420">
        <v>28927.17661122165</v>
      </c>
      <c r="H62" s="1421">
        <v>1000000</v>
      </c>
      <c r="I62" s="1358">
        <f t="shared" si="6"/>
        <v>0</v>
      </c>
      <c r="J62" s="524">
        <f t="shared" si="6"/>
        <v>0</v>
      </c>
      <c r="K62" s="524">
        <f t="shared" si="6"/>
        <v>0</v>
      </c>
      <c r="L62" s="524">
        <f t="shared" si="6"/>
        <v>0</v>
      </c>
      <c r="M62" s="1363">
        <f t="shared" si="6"/>
        <v>0</v>
      </c>
      <c r="N62" s="1484">
        <v>7.3401213345993206</v>
      </c>
      <c r="O62" s="1441">
        <v>11.995111975831838</v>
      </c>
      <c r="P62" s="1441">
        <v>14.134587064943084</v>
      </c>
      <c r="Q62" s="1441">
        <v>25.422866588923547</v>
      </c>
      <c r="R62" s="1441">
        <v>16.938777409389228</v>
      </c>
      <c r="S62" s="1442">
        <v>1</v>
      </c>
      <c r="T62" s="1443">
        <v>1</v>
      </c>
      <c r="U62" s="1444">
        <v>1</v>
      </c>
      <c r="V62" s="1444">
        <v>1</v>
      </c>
      <c r="W62" s="1444">
        <v>1</v>
      </c>
      <c r="X62" s="1444">
        <v>1</v>
      </c>
      <c r="Y62" s="1445">
        <v>1</v>
      </c>
      <c r="Z62" s="1443">
        <v>0</v>
      </c>
      <c r="AA62" s="1444">
        <v>0</v>
      </c>
      <c r="AB62" s="1444">
        <v>0</v>
      </c>
      <c r="AC62" s="1444">
        <v>320.00400817880762</v>
      </c>
      <c r="AD62" s="1444">
        <v>0</v>
      </c>
      <c r="AE62" s="1445">
        <v>0</v>
      </c>
    </row>
    <row r="63" spans="1:31" s="232" customFormat="1" x14ac:dyDescent="0.2">
      <c r="A63" s="3"/>
      <c r="B63" s="523">
        <v>2048</v>
      </c>
      <c r="C63" s="1419">
        <v>139788.33333333334</v>
      </c>
      <c r="D63" s="1420">
        <v>12280.614676562252</v>
      </c>
      <c r="E63" s="1420">
        <v>16540.5092062029</v>
      </c>
      <c r="F63" s="1420">
        <v>29083.489221852622</v>
      </c>
      <c r="G63" s="1420">
        <v>27453.966737636329</v>
      </c>
      <c r="H63" s="1421">
        <v>1000000</v>
      </c>
      <c r="I63" s="1358">
        <f t="shared" si="6"/>
        <v>0</v>
      </c>
      <c r="J63" s="524">
        <f t="shared" si="6"/>
        <v>0</v>
      </c>
      <c r="K63" s="524">
        <f t="shared" si="6"/>
        <v>0</v>
      </c>
      <c r="L63" s="524">
        <f t="shared" si="6"/>
        <v>0</v>
      </c>
      <c r="M63" s="1363">
        <f t="shared" si="6"/>
        <v>0</v>
      </c>
      <c r="N63" s="1484">
        <v>7.3405375112326254</v>
      </c>
      <c r="O63" s="1441">
        <v>12.080236635074145</v>
      </c>
      <c r="P63" s="1441">
        <v>14.274962122205489</v>
      </c>
      <c r="Q63" s="1441">
        <v>25.673825886191064</v>
      </c>
      <c r="R63" s="1441">
        <v>17.12258335203818</v>
      </c>
      <c r="S63" s="1442">
        <v>1</v>
      </c>
      <c r="T63" s="1443">
        <v>1</v>
      </c>
      <c r="U63" s="1444">
        <v>1</v>
      </c>
      <c r="V63" s="1444">
        <v>1</v>
      </c>
      <c r="W63" s="1444">
        <v>1</v>
      </c>
      <c r="X63" s="1444">
        <v>1</v>
      </c>
      <c r="Y63" s="1445">
        <v>1</v>
      </c>
      <c r="Z63" s="1443">
        <v>0</v>
      </c>
      <c r="AA63" s="1444">
        <v>0</v>
      </c>
      <c r="AB63" s="1444">
        <v>0</v>
      </c>
      <c r="AC63" s="1444">
        <v>321.84932751607096</v>
      </c>
      <c r="AD63" s="1444">
        <v>0</v>
      </c>
      <c r="AE63" s="1445">
        <v>0</v>
      </c>
    </row>
    <row r="64" spans="1:31" s="232" customFormat="1" x14ac:dyDescent="0.2">
      <c r="A64" s="3"/>
      <c r="B64" s="523">
        <v>2049</v>
      </c>
      <c r="C64" s="1419">
        <v>139788.33333333334</v>
      </c>
      <c r="D64" s="1420">
        <v>12294.27053426018</v>
      </c>
      <c r="E64" s="1420">
        <v>16503.06939634775</v>
      </c>
      <c r="F64" s="1420">
        <v>26482.458006128392</v>
      </c>
      <c r="G64" s="1420">
        <v>26503.109366129676</v>
      </c>
      <c r="H64" s="1421">
        <v>1000000</v>
      </c>
      <c r="I64" s="1358">
        <f t="shared" si="6"/>
        <v>0</v>
      </c>
      <c r="J64" s="524">
        <f t="shared" si="6"/>
        <v>0</v>
      </c>
      <c r="K64" s="524">
        <f t="shared" si="6"/>
        <v>0</v>
      </c>
      <c r="L64" s="524">
        <f t="shared" si="6"/>
        <v>0</v>
      </c>
      <c r="M64" s="1363">
        <f t="shared" si="6"/>
        <v>0</v>
      </c>
      <c r="N64" s="1484">
        <v>7.3409536878659303</v>
      </c>
      <c r="O64" s="1441">
        <v>12.135178847442406</v>
      </c>
      <c r="P64" s="1441">
        <v>14.365564731084826</v>
      </c>
      <c r="Q64" s="1441">
        <v>25.83580314553037</v>
      </c>
      <c r="R64" s="1441">
        <v>17.241217661126228</v>
      </c>
      <c r="S64" s="1442">
        <v>1</v>
      </c>
      <c r="T64" s="1443">
        <v>1</v>
      </c>
      <c r="U64" s="1444">
        <v>1</v>
      </c>
      <c r="V64" s="1444">
        <v>1</v>
      </c>
      <c r="W64" s="1444">
        <v>1</v>
      </c>
      <c r="X64" s="1444">
        <v>1</v>
      </c>
      <c r="Y64" s="1445">
        <v>1</v>
      </c>
      <c r="Z64" s="1443">
        <v>0</v>
      </c>
      <c r="AA64" s="1444">
        <v>0</v>
      </c>
      <c r="AB64" s="1444">
        <v>0</v>
      </c>
      <c r="AC64" s="1444">
        <v>323.69464685333429</v>
      </c>
      <c r="AD64" s="1444">
        <v>0</v>
      </c>
      <c r="AE64" s="1445">
        <v>0</v>
      </c>
    </row>
    <row r="65" spans="1:31" s="232" customFormat="1" ht="13.5" thickBot="1" x14ac:dyDescent="0.25">
      <c r="A65" s="3"/>
      <c r="B65" s="525">
        <v>2050</v>
      </c>
      <c r="C65" s="1422">
        <v>139788.33333333334</v>
      </c>
      <c r="D65" s="1423">
        <v>12316.666666666657</v>
      </c>
      <c r="E65" s="1423">
        <v>16441.666666666657</v>
      </c>
      <c r="F65" s="1423">
        <v>22216.666666666657</v>
      </c>
      <c r="G65" s="1423">
        <v>24943.666666666657</v>
      </c>
      <c r="H65" s="1424">
        <v>1000000</v>
      </c>
      <c r="I65" s="1359">
        <f t="shared" si="6"/>
        <v>0</v>
      </c>
      <c r="J65" s="526">
        <f t="shared" si="6"/>
        <v>0</v>
      </c>
      <c r="K65" s="526">
        <f t="shared" si="6"/>
        <v>0</v>
      </c>
      <c r="L65" s="526">
        <f t="shared" si="6"/>
        <v>0</v>
      </c>
      <c r="M65" s="1364">
        <f t="shared" si="6"/>
        <v>0</v>
      </c>
      <c r="N65" s="1485">
        <v>7.341369864499236</v>
      </c>
      <c r="O65" s="1447">
        <v>12.22528619112768</v>
      </c>
      <c r="P65" s="1447">
        <v>14.514156498055417</v>
      </c>
      <c r="Q65" s="1458">
        <v>26.10145208734323</v>
      </c>
      <c r="R65" s="1458">
        <v>17.435782495723927</v>
      </c>
      <c r="S65" s="1459">
        <v>1</v>
      </c>
      <c r="T65" s="1449">
        <v>1</v>
      </c>
      <c r="U65" s="1450">
        <v>1</v>
      </c>
      <c r="V65" s="1450">
        <v>1</v>
      </c>
      <c r="W65" s="1450">
        <v>1</v>
      </c>
      <c r="X65" s="1450">
        <v>1</v>
      </c>
      <c r="Y65" s="1451">
        <v>1</v>
      </c>
      <c r="Z65" s="1449">
        <v>0</v>
      </c>
      <c r="AA65" s="1450">
        <v>0</v>
      </c>
      <c r="AB65" s="1450">
        <v>0</v>
      </c>
      <c r="AC65" s="1450">
        <v>325.53996619059751</v>
      </c>
      <c r="AD65" s="1450">
        <v>0</v>
      </c>
      <c r="AE65" s="1451">
        <v>0</v>
      </c>
    </row>
    <row r="66" spans="1:31" s="232" customFormat="1" x14ac:dyDescent="0.2">
      <c r="A66" s="3"/>
      <c r="B66" s="230"/>
      <c r="C66" s="229"/>
      <c r="E66" s="2"/>
      <c r="F66" s="229"/>
      <c r="G66" s="5"/>
      <c r="H66" s="6"/>
      <c r="I66" s="747"/>
      <c r="J66" s="747"/>
      <c r="K66" s="6"/>
      <c r="L66" s="6"/>
      <c r="M66" s="6"/>
      <c r="N66" s="6"/>
      <c r="O66" s="6"/>
      <c r="P66" s="6"/>
    </row>
    <row r="67" spans="1:31" ht="13.5" thickBot="1" x14ac:dyDescent="0.25">
      <c r="F67" s="7"/>
      <c r="G67" s="8"/>
      <c r="H67" s="7"/>
      <c r="I67" s="7"/>
      <c r="J67" s="7"/>
      <c r="K67" s="7"/>
      <c r="L67" s="7"/>
      <c r="M67" s="7"/>
      <c r="N67" s="7"/>
      <c r="O67" s="7"/>
      <c r="P67" s="7"/>
    </row>
    <row r="68" spans="1:31" ht="13.5" thickBot="1" x14ac:dyDescent="0.25">
      <c r="B68" s="1488"/>
      <c r="C68" s="9" t="s">
        <v>202</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J6:K6"/>
    <mergeCell ref="L6:M6"/>
    <mergeCell ref="N6:O6"/>
    <mergeCell ref="I15:J15"/>
    <mergeCell ref="C19:H19"/>
    <mergeCell ref="I19:M19"/>
    <mergeCell ref="N19:S19"/>
    <mergeCell ref="T19:Y19"/>
    <mergeCell ref="Z19:AE19"/>
  </mergeCells>
  <phoneticPr fontId="59" type="noConversion"/>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count="4">
    <dataValidation type="list" allowBlank="1" showInputMessage="1" showErrorMessage="1" sqref="F8:F13" xr:uid="{9A85B350-36E8-484B-BE71-581B1B8C9453}">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8524D478-5BAF-4A47-B59D-25FA1D0F5B1B}">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247650</xdr:colOff>
                    <xdr:row>8</xdr:row>
                    <xdr:rowOff>123825</xdr:rowOff>
                  </from>
                  <to>
                    <xdr:col>19</xdr:col>
                    <xdr:colOff>476250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zoomScaleNormal="100" workbookViewId="0">
      <selection activeCell="K10" sqref="K10:K12"/>
    </sheetView>
  </sheetViews>
  <sheetFormatPr defaultColWidth="9.140625" defaultRowHeight="12.75" x14ac:dyDescent="0.2"/>
  <cols>
    <col min="1" max="1" width="1.5703125" style="496" customWidth="1"/>
    <col min="2" max="2" width="9.140625" style="496"/>
    <col min="3" max="4" width="9.5703125" style="496" customWidth="1"/>
    <col min="5" max="5" width="8.7109375" style="498" bestFit="1" customWidth="1"/>
    <col min="6" max="6" width="9" style="496" customWidth="1"/>
    <col min="7" max="7" width="8.7109375" style="498" bestFit="1" customWidth="1"/>
    <col min="8" max="8" width="9.28515625" style="496" customWidth="1"/>
    <col min="9" max="9" width="8.7109375" style="496" bestFit="1" customWidth="1"/>
    <col min="10" max="10" width="8.85546875" style="496" customWidth="1"/>
    <col min="11" max="11" width="8.7109375" style="496" bestFit="1" customWidth="1"/>
    <col min="12" max="12" width="7.85546875" style="496" customWidth="1"/>
    <col min="13" max="13" width="8.7109375" style="496" bestFit="1" customWidth="1"/>
    <col min="14" max="14" width="7.140625" style="496" customWidth="1"/>
    <col min="15" max="15" width="8.7109375" style="496" bestFit="1" customWidth="1"/>
    <col min="16" max="16" width="9.28515625" style="496" customWidth="1"/>
    <col min="17" max="17" width="8.7109375" style="496" bestFit="1" customWidth="1"/>
    <col min="18" max="18" width="9.85546875" style="496" customWidth="1"/>
    <col min="19" max="19" width="9" style="496" customWidth="1"/>
    <col min="20" max="20" width="7.85546875" style="496" customWidth="1"/>
    <col min="21" max="21" width="8.7109375" style="496" bestFit="1" customWidth="1"/>
    <col min="22" max="22" width="7.42578125" style="496" customWidth="1"/>
    <col min="23" max="23" width="8.7109375" style="496" bestFit="1" customWidth="1"/>
    <col min="24" max="24" width="7.85546875" style="496" customWidth="1"/>
    <col min="25" max="25" width="7.140625" style="496" customWidth="1"/>
    <col min="26" max="26" width="8.42578125" style="496" customWidth="1"/>
    <col min="27" max="27" width="7.140625" style="496" customWidth="1"/>
    <col min="28" max="28" width="9.140625" style="496"/>
    <col min="29" max="29" width="7.42578125" style="496" customWidth="1"/>
    <col min="30" max="30" width="8.5703125" style="496" customWidth="1"/>
    <col min="31" max="31" width="5.85546875" style="496" customWidth="1"/>
    <col min="32" max="32" width="7.85546875" style="496" customWidth="1"/>
    <col min="33" max="33" width="4.42578125" style="496" hidden="1" customWidth="1"/>
    <col min="34" max="34" width="6.5703125" style="496" hidden="1" customWidth="1"/>
    <col min="35" max="46" width="7.140625" style="496" hidden="1" customWidth="1"/>
    <col min="47" max="58" width="6.5703125" style="496" hidden="1" customWidth="1"/>
    <col min="59" max="67" width="0" style="496" hidden="1" customWidth="1"/>
    <col min="68" max="16384" width="9.140625" style="496"/>
  </cols>
  <sheetData>
    <row r="1" spans="1:27" s="538" customFormat="1" ht="15.75" x14ac:dyDescent="0.25">
      <c r="B1" s="771" t="s">
        <v>152</v>
      </c>
      <c r="C1" s="772"/>
      <c r="D1" s="772"/>
      <c r="E1" s="773"/>
      <c r="F1" s="772"/>
      <c r="G1" s="773"/>
    </row>
    <row r="2" spans="1:27" ht="5.25" customHeight="1" x14ac:dyDescent="0.25">
      <c r="B2" s="499"/>
      <c r="C2" s="497"/>
      <c r="D2" s="497"/>
      <c r="F2" s="497"/>
    </row>
    <row r="3" spans="1:27" customFormat="1" x14ac:dyDescent="0.2">
      <c r="A3" s="3"/>
      <c r="B3" s="1" t="s">
        <v>227</v>
      </c>
      <c r="C3" s="3"/>
      <c r="D3" s="766" t="s">
        <v>228</v>
      </c>
      <c r="E3" s="1379">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5.75" thickBot="1" x14ac:dyDescent="0.3">
      <c r="B5" s="500" t="s">
        <v>74</v>
      </c>
      <c r="E5" s="496"/>
      <c r="G5" s="496"/>
      <c r="N5" s="501"/>
      <c r="O5" s="501"/>
    </row>
    <row r="6" spans="1:27" ht="24" customHeight="1" x14ac:dyDescent="0.2">
      <c r="B6" s="502"/>
      <c r="C6" s="503"/>
      <c r="D6" s="504"/>
      <c r="E6" s="504"/>
      <c r="F6" s="503"/>
      <c r="G6" s="503"/>
      <c r="H6" s="833"/>
      <c r="I6" s="603"/>
      <c r="J6" s="1520" t="s">
        <v>76</v>
      </c>
      <c r="K6" s="1521"/>
      <c r="L6" s="1511" t="s">
        <v>83</v>
      </c>
      <c r="M6" s="1512"/>
      <c r="N6" s="1511" t="s">
        <v>109</v>
      </c>
      <c r="O6" s="1512"/>
    </row>
    <row r="7" spans="1:27" ht="27" customHeight="1" thickBot="1" x14ac:dyDescent="0.3">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1:27" ht="13.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1: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1: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1:27" x14ac:dyDescent="0.2">
      <c r="B11" s="542" t="s">
        <v>67</v>
      </c>
      <c r="C11" s="1384" t="s">
        <v>324</v>
      </c>
      <c r="D11" s="1388"/>
      <c r="E11" s="1389"/>
      <c r="F11" s="1390" t="s">
        <v>6</v>
      </c>
      <c r="G11" s="1390" t="s">
        <v>229</v>
      </c>
      <c r="H11" s="895" t="b">
        <f t="shared" si="0"/>
        <v>1</v>
      </c>
      <c r="I11" s="1395">
        <v>2025</v>
      </c>
      <c r="J11" s="1489">
        <v>0</v>
      </c>
      <c r="K11" s="1402">
        <v>0.5</v>
      </c>
      <c r="L11" s="1403">
        <v>5</v>
      </c>
      <c r="M11" s="1404">
        <v>5</v>
      </c>
      <c r="N11" s="1405">
        <v>0</v>
      </c>
      <c r="O11" s="1406">
        <v>350</v>
      </c>
      <c r="P11" s="497"/>
    </row>
    <row r="12" spans="1:27" x14ac:dyDescent="0.2">
      <c r="B12" s="542" t="s">
        <v>205</v>
      </c>
      <c r="C12" s="1384" t="s">
        <v>445</v>
      </c>
      <c r="D12" s="1388"/>
      <c r="E12" s="1389"/>
      <c r="F12" s="1390" t="s">
        <v>207</v>
      </c>
      <c r="G12" s="1390" t="s">
        <v>229</v>
      </c>
      <c r="H12" s="895" t="b">
        <f t="shared" si="0"/>
        <v>0</v>
      </c>
      <c r="I12" s="1395">
        <v>2025</v>
      </c>
      <c r="J12" s="1489">
        <v>0</v>
      </c>
      <c r="K12" s="1402">
        <v>0.5</v>
      </c>
      <c r="L12" s="1403">
        <v>5</v>
      </c>
      <c r="M12" s="1404">
        <v>5</v>
      </c>
      <c r="N12" s="1405">
        <v>0</v>
      </c>
      <c r="O12" s="1406">
        <v>350</v>
      </c>
    </row>
    <row r="13" spans="1:27" ht="13.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1:27" ht="15.75" x14ac:dyDescent="0.25">
      <c r="B14" s="499"/>
      <c r="C14" s="496" t="s">
        <v>265</v>
      </c>
      <c r="D14" s="497"/>
      <c r="F14" s="497"/>
    </row>
    <row r="15" spans="1:27" ht="15.75" thickBot="1" x14ac:dyDescent="0.25">
      <c r="B15" s="520" t="s">
        <v>119</v>
      </c>
      <c r="C15" s="902"/>
      <c r="D15" s="497"/>
      <c r="F15" s="497"/>
    </row>
    <row r="16" spans="1:27" ht="13.5" thickBot="1" x14ac:dyDescent="0.25">
      <c r="B16" s="231"/>
      <c r="C16" s="4"/>
      <c r="D16" s="497"/>
      <c r="F16" s="497"/>
      <c r="T16" s="769" t="s">
        <v>230</v>
      </c>
      <c r="U16" s="496" t="s">
        <v>231</v>
      </c>
      <c r="Z16" s="901"/>
      <c r="AA16" s="496" t="s">
        <v>262</v>
      </c>
    </row>
    <row r="17" spans="2:31" x14ac:dyDescent="0.2">
      <c r="B17" s="231"/>
      <c r="C17" s="233"/>
      <c r="D17" s="497"/>
      <c r="F17" s="497"/>
      <c r="U17" s="496" t="s">
        <v>232</v>
      </c>
      <c r="Z17" s="232"/>
      <c r="AA17" s="496" t="s">
        <v>263</v>
      </c>
    </row>
    <row r="18" spans="2:31" ht="13.5" thickBot="1" x14ac:dyDescent="0.25">
      <c r="B18" s="230"/>
      <c r="C18" s="229"/>
    </row>
    <row r="19" spans="2:31" ht="16.5" thickBot="1" x14ac:dyDescent="0.3">
      <c r="B19" s="748"/>
      <c r="C19" s="1513" t="s">
        <v>221</v>
      </c>
      <c r="D19" s="1514"/>
      <c r="E19" s="1514"/>
      <c r="F19" s="1514"/>
      <c r="G19" s="1514"/>
      <c r="H19" s="1514"/>
      <c r="I19" s="1514" t="s">
        <v>222</v>
      </c>
      <c r="J19" s="1514"/>
      <c r="K19" s="1514"/>
      <c r="L19" s="1514"/>
      <c r="M19" s="1515"/>
      <c r="N19" s="1516" t="s">
        <v>223</v>
      </c>
      <c r="O19" s="1517"/>
      <c r="P19" s="1517"/>
      <c r="Q19" s="1517"/>
      <c r="R19" s="1517"/>
      <c r="S19" s="1518"/>
      <c r="T19" s="1516" t="s">
        <v>224</v>
      </c>
      <c r="U19" s="1517"/>
      <c r="V19" s="1517"/>
      <c r="W19" s="1517"/>
      <c r="X19" s="1517"/>
      <c r="Y19" s="1518"/>
      <c r="Z19" s="1516" t="s">
        <v>226</v>
      </c>
      <c r="AA19" s="1517"/>
      <c r="AB19" s="1517"/>
      <c r="AC19" s="1517"/>
      <c r="AD19" s="1517"/>
      <c r="AE19" s="1518"/>
    </row>
    <row r="20" spans="2:31" ht="13.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3.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81898</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81898</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81898</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3.5" thickBot="1" x14ac:dyDescent="0.25">
      <c r="B25" s="525">
        <v>2010</v>
      </c>
      <c r="C25" s="1422">
        <v>81898</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81898</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81898</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81898</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81898</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3.5" thickBot="1" x14ac:dyDescent="0.25">
      <c r="B30" s="525">
        <v>2015</v>
      </c>
      <c r="C30" s="1422">
        <v>81898</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81898</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81898</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81898</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81898</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3.5" thickBot="1" x14ac:dyDescent="0.25">
      <c r="B35" s="525">
        <v>2020</v>
      </c>
      <c r="C35" s="1422">
        <v>81898</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81898</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6.1940987651005122</v>
      </c>
      <c r="O36" s="1453">
        <v>6.2615821752815934</v>
      </c>
      <c r="P36" s="1453">
        <v>9.1754044778337533</v>
      </c>
      <c r="Q36" s="1460">
        <v>23.280326203585055</v>
      </c>
      <c r="R36" s="1460">
        <v>14.926377042494044</v>
      </c>
      <c r="S36" s="1461">
        <v>1</v>
      </c>
      <c r="T36" s="1455">
        <v>1</v>
      </c>
      <c r="U36" s="1456">
        <v>1</v>
      </c>
      <c r="V36" s="1456">
        <v>1</v>
      </c>
      <c r="W36" s="1456">
        <v>1</v>
      </c>
      <c r="X36" s="1456">
        <v>1</v>
      </c>
      <c r="Y36" s="1457">
        <v>1</v>
      </c>
      <c r="Z36" s="1455">
        <v>0</v>
      </c>
      <c r="AA36" s="1456">
        <v>0</v>
      </c>
      <c r="AB36" s="1456">
        <v>0</v>
      </c>
      <c r="AC36" s="1456">
        <v>275.10009767549849</v>
      </c>
      <c r="AD36" s="1456">
        <v>0</v>
      </c>
      <c r="AE36" s="1457">
        <v>0</v>
      </c>
    </row>
    <row r="37" spans="2:31" x14ac:dyDescent="0.2">
      <c r="B37" s="523">
        <v>2022</v>
      </c>
      <c r="C37" s="1419">
        <v>82009.100849793598</v>
      </c>
      <c r="D37" s="1420">
        <v>1000000</v>
      </c>
      <c r="E37" s="1420">
        <v>1000000</v>
      </c>
      <c r="F37" s="1420">
        <v>1000000</v>
      </c>
      <c r="G37" s="1420">
        <v>1000000</v>
      </c>
      <c r="H37" s="1421">
        <v>1000000</v>
      </c>
      <c r="I37" s="1358">
        <f t="shared" si="6"/>
        <v>0</v>
      </c>
      <c r="J37" s="524">
        <f t="shared" si="5"/>
        <v>0</v>
      </c>
      <c r="K37" s="524">
        <f t="shared" si="5"/>
        <v>0</v>
      </c>
      <c r="L37" s="524">
        <f t="shared" si="5"/>
        <v>0</v>
      </c>
      <c r="M37" s="1363">
        <f t="shared" si="5"/>
        <v>0</v>
      </c>
      <c r="N37" s="1484">
        <v>6.3185291641470567</v>
      </c>
      <c r="O37" s="1441">
        <v>6.4130192856702335</v>
      </c>
      <c r="P37" s="1441">
        <v>9.3862055833604501</v>
      </c>
      <c r="Q37" s="1462">
        <v>23.66606848153625</v>
      </c>
      <c r="R37" s="1462">
        <v>15.2238918000733</v>
      </c>
      <c r="S37" s="1463">
        <v>1</v>
      </c>
      <c r="T37" s="1443">
        <v>1</v>
      </c>
      <c r="U37" s="1444">
        <v>1</v>
      </c>
      <c r="V37" s="1444">
        <v>1</v>
      </c>
      <c r="W37" s="1444">
        <v>1</v>
      </c>
      <c r="X37" s="1444">
        <v>1</v>
      </c>
      <c r="Y37" s="1445">
        <v>1</v>
      </c>
      <c r="Z37" s="1443">
        <v>0</v>
      </c>
      <c r="AA37" s="1444">
        <v>0</v>
      </c>
      <c r="AB37" s="1444">
        <v>0</v>
      </c>
      <c r="AC37" s="1444">
        <v>275.49860386699038</v>
      </c>
      <c r="AD37" s="1444">
        <v>0</v>
      </c>
      <c r="AE37" s="1445">
        <v>0</v>
      </c>
    </row>
    <row r="38" spans="2:31" x14ac:dyDescent="0.2">
      <c r="B38" s="523">
        <v>2023</v>
      </c>
      <c r="C38" s="1419">
        <v>82148.907841415799</v>
      </c>
      <c r="D38" s="1420">
        <v>1000000</v>
      </c>
      <c r="E38" s="1420">
        <v>1000000</v>
      </c>
      <c r="F38" s="1420">
        <v>1000000</v>
      </c>
      <c r="G38" s="1420">
        <v>1000000</v>
      </c>
      <c r="H38" s="1421">
        <v>1000000</v>
      </c>
      <c r="I38" s="1358">
        <f t="shared" si="6"/>
        <v>0</v>
      </c>
      <c r="J38" s="524">
        <f t="shared" si="6"/>
        <v>0</v>
      </c>
      <c r="K38" s="524">
        <f t="shared" si="6"/>
        <v>0</v>
      </c>
      <c r="L38" s="524">
        <f t="shared" si="6"/>
        <v>0</v>
      </c>
      <c r="M38" s="1363">
        <f t="shared" si="6"/>
        <v>0</v>
      </c>
      <c r="N38" s="1484">
        <v>6.4751097824714527</v>
      </c>
      <c r="O38" s="1441">
        <v>6.5602147424272754</v>
      </c>
      <c r="P38" s="1441">
        <v>9.5911022888856703</v>
      </c>
      <c r="Q38" s="1462">
        <v>24.041006372571086</v>
      </c>
      <c r="R38" s="1462">
        <v>15.513073365420471</v>
      </c>
      <c r="S38" s="1463">
        <v>1</v>
      </c>
      <c r="T38" s="1443">
        <v>1</v>
      </c>
      <c r="U38" s="1444">
        <v>1</v>
      </c>
      <c r="V38" s="1444">
        <v>1</v>
      </c>
      <c r="W38" s="1444">
        <v>1</v>
      </c>
      <c r="X38" s="1444">
        <v>1</v>
      </c>
      <c r="Y38" s="1445">
        <v>1</v>
      </c>
      <c r="Z38" s="1443">
        <v>0</v>
      </c>
      <c r="AA38" s="1444">
        <v>0</v>
      </c>
      <c r="AB38" s="1444">
        <v>0</v>
      </c>
      <c r="AC38" s="1444">
        <v>275.89711005848221</v>
      </c>
      <c r="AD38" s="1444">
        <v>0</v>
      </c>
      <c r="AE38" s="1445">
        <v>0</v>
      </c>
    </row>
    <row r="39" spans="2:31" x14ac:dyDescent="0.2">
      <c r="B39" s="523">
        <v>2024</v>
      </c>
      <c r="C39" s="1419">
        <v>82304.395976705782</v>
      </c>
      <c r="D39" s="1420">
        <v>1000000</v>
      </c>
      <c r="E39" s="1420">
        <v>1000000</v>
      </c>
      <c r="F39" s="1420">
        <v>1000000</v>
      </c>
      <c r="G39" s="1420">
        <v>1000000</v>
      </c>
      <c r="H39" s="1421">
        <v>1000000</v>
      </c>
      <c r="I39" s="1358">
        <f t="shared" si="6"/>
        <v>0</v>
      </c>
      <c r="J39" s="524">
        <f t="shared" si="6"/>
        <v>0</v>
      </c>
      <c r="K39" s="524">
        <f t="shared" si="6"/>
        <v>0</v>
      </c>
      <c r="L39" s="524">
        <f t="shared" si="6"/>
        <v>0</v>
      </c>
      <c r="M39" s="1363">
        <f t="shared" si="6"/>
        <v>0</v>
      </c>
      <c r="N39" s="1484">
        <v>6.6492529214040559</v>
      </c>
      <c r="O39" s="1441">
        <v>6.7786280542435247</v>
      </c>
      <c r="P39" s="1441">
        <v>9.8951345533316424</v>
      </c>
      <c r="Q39" s="1462">
        <v>24.597351169554116</v>
      </c>
      <c r="R39" s="1462">
        <v>15.942170192151579</v>
      </c>
      <c r="S39" s="1463">
        <v>1</v>
      </c>
      <c r="T39" s="1443">
        <v>1</v>
      </c>
      <c r="U39" s="1444">
        <v>1</v>
      </c>
      <c r="V39" s="1444">
        <v>1</v>
      </c>
      <c r="W39" s="1444">
        <v>1</v>
      </c>
      <c r="X39" s="1444">
        <v>1</v>
      </c>
      <c r="Y39" s="1445">
        <v>1</v>
      </c>
      <c r="Z39" s="1443">
        <v>0</v>
      </c>
      <c r="AA39" s="1444">
        <v>0</v>
      </c>
      <c r="AB39" s="1444">
        <v>0</v>
      </c>
      <c r="AC39" s="1444">
        <v>276.29561624997405</v>
      </c>
      <c r="AD39" s="1444">
        <v>0</v>
      </c>
      <c r="AE39" s="1445">
        <v>0</v>
      </c>
    </row>
    <row r="40" spans="2:31" ht="13.5" thickBot="1" x14ac:dyDescent="0.25">
      <c r="B40" s="525">
        <v>2025</v>
      </c>
      <c r="C40" s="1422">
        <v>82474.172613639836</v>
      </c>
      <c r="D40" s="1423">
        <v>119.27416004567138</v>
      </c>
      <c r="E40" s="1423">
        <v>5817.1878111532897</v>
      </c>
      <c r="F40" s="1423">
        <v>234567.37950945646</v>
      </c>
      <c r="G40" s="1423">
        <v>82769.352682547236</v>
      </c>
      <c r="H40" s="1424">
        <v>1000000</v>
      </c>
      <c r="I40" s="1359">
        <f t="shared" si="6"/>
        <v>0</v>
      </c>
      <c r="J40" s="526">
        <f t="shared" si="6"/>
        <v>0</v>
      </c>
      <c r="K40" s="526">
        <f t="shared" si="6"/>
        <v>0</v>
      </c>
      <c r="L40" s="526">
        <f t="shared" si="6"/>
        <v>0</v>
      </c>
      <c r="M40" s="1364">
        <f t="shared" si="6"/>
        <v>0</v>
      </c>
      <c r="N40" s="1485">
        <v>6.8393988538764896</v>
      </c>
      <c r="O40" s="1447">
        <v>7.0195534780143252</v>
      </c>
      <c r="P40" s="1447">
        <v>10.230503773927802</v>
      </c>
      <c r="Q40" s="1458">
        <v>25.211039066419026</v>
      </c>
      <c r="R40" s="1458">
        <v>16.415494523710052</v>
      </c>
      <c r="S40" s="1459">
        <v>1</v>
      </c>
      <c r="T40" s="1449">
        <v>1</v>
      </c>
      <c r="U40" s="1450">
        <v>1</v>
      </c>
      <c r="V40" s="1450">
        <v>1</v>
      </c>
      <c r="W40" s="1450">
        <v>1</v>
      </c>
      <c r="X40" s="1450">
        <v>1</v>
      </c>
      <c r="Y40" s="1451">
        <v>1</v>
      </c>
      <c r="Z40" s="1449">
        <v>0</v>
      </c>
      <c r="AA40" s="1450">
        <v>0</v>
      </c>
      <c r="AB40" s="1450">
        <v>0</v>
      </c>
      <c r="AC40" s="1450">
        <v>276.69412244146588</v>
      </c>
      <c r="AD40" s="1450">
        <v>0</v>
      </c>
      <c r="AE40" s="1451">
        <v>0</v>
      </c>
    </row>
    <row r="41" spans="2:31" x14ac:dyDescent="0.2">
      <c r="B41" s="527">
        <v>2026</v>
      </c>
      <c r="C41" s="1425">
        <v>82644.145945552678</v>
      </c>
      <c r="D41" s="1426">
        <v>149.561514188281</v>
      </c>
      <c r="E41" s="1426">
        <v>5576.7632627082685</v>
      </c>
      <c r="F41" s="1426">
        <v>212198.98686087714</v>
      </c>
      <c r="G41" s="1426">
        <v>75629.930640704086</v>
      </c>
      <c r="H41" s="1427">
        <v>1000000</v>
      </c>
      <c r="I41" s="1357">
        <f t="shared" si="6"/>
        <v>0</v>
      </c>
      <c r="J41" s="528">
        <f t="shared" si="6"/>
        <v>0</v>
      </c>
      <c r="K41" s="528">
        <f t="shared" si="6"/>
        <v>0</v>
      </c>
      <c r="L41" s="528">
        <f t="shared" si="6"/>
        <v>0</v>
      </c>
      <c r="M41" s="1362">
        <f t="shared" si="6"/>
        <v>0</v>
      </c>
      <c r="N41" s="1486">
        <v>7.029765080205796</v>
      </c>
      <c r="O41" s="1453">
        <v>7.2120255546737706</v>
      </c>
      <c r="P41" s="1453">
        <v>10.498425728055857</v>
      </c>
      <c r="Q41" s="1460">
        <v>25.701306063075751</v>
      </c>
      <c r="R41" s="1460">
        <v>16.79362695823124</v>
      </c>
      <c r="S41" s="1461">
        <v>1</v>
      </c>
      <c r="T41" s="1455">
        <v>1</v>
      </c>
      <c r="U41" s="1456">
        <v>1</v>
      </c>
      <c r="V41" s="1456">
        <v>1</v>
      </c>
      <c r="W41" s="1456">
        <v>1</v>
      </c>
      <c r="X41" s="1456">
        <v>1</v>
      </c>
      <c r="Y41" s="1457">
        <v>1</v>
      </c>
      <c r="Z41" s="1455">
        <v>0</v>
      </c>
      <c r="AA41" s="1456">
        <v>0</v>
      </c>
      <c r="AB41" s="1456">
        <v>0</v>
      </c>
      <c r="AC41" s="1456">
        <v>277.09262863295771</v>
      </c>
      <c r="AD41" s="1456">
        <v>0</v>
      </c>
      <c r="AE41" s="1457">
        <v>0</v>
      </c>
    </row>
    <row r="42" spans="2:31" x14ac:dyDescent="0.2">
      <c r="B42" s="523">
        <v>2027</v>
      </c>
      <c r="C42" s="1419">
        <v>82827.166666666642</v>
      </c>
      <c r="D42" s="1420">
        <v>185.83333333335759</v>
      </c>
      <c r="E42" s="1420">
        <v>5288.8333333333576</v>
      </c>
      <c r="F42" s="1420">
        <v>185410.83333333337</v>
      </c>
      <c r="G42" s="1420">
        <v>67079.833333333358</v>
      </c>
      <c r="H42" s="1421">
        <v>1000000</v>
      </c>
      <c r="I42" s="1358">
        <f t="shared" si="6"/>
        <v>0</v>
      </c>
      <c r="J42" s="524">
        <f t="shared" si="6"/>
        <v>0</v>
      </c>
      <c r="K42" s="524">
        <f t="shared" si="6"/>
        <v>0</v>
      </c>
      <c r="L42" s="524">
        <f t="shared" si="6"/>
        <v>0</v>
      </c>
      <c r="M42" s="1363">
        <f t="shared" si="6"/>
        <v>0</v>
      </c>
      <c r="N42" s="1484">
        <v>7.2347440826554212</v>
      </c>
      <c r="O42" s="1441">
        <v>7.4425281044242979</v>
      </c>
      <c r="P42" s="1441">
        <v>10.81928626342552</v>
      </c>
      <c r="Q42" s="1462">
        <v>26.288444700270691</v>
      </c>
      <c r="R42" s="1462">
        <v>17.246474414409146</v>
      </c>
      <c r="S42" s="1463">
        <v>1</v>
      </c>
      <c r="T42" s="1443">
        <v>1</v>
      </c>
      <c r="U42" s="1444">
        <v>1</v>
      </c>
      <c r="V42" s="1444">
        <v>1</v>
      </c>
      <c r="W42" s="1444">
        <v>1</v>
      </c>
      <c r="X42" s="1444">
        <v>1</v>
      </c>
      <c r="Y42" s="1445">
        <v>1</v>
      </c>
      <c r="Z42" s="1443">
        <v>0</v>
      </c>
      <c r="AA42" s="1444">
        <v>0</v>
      </c>
      <c r="AB42" s="1444">
        <v>0</v>
      </c>
      <c r="AC42" s="1444">
        <v>277.49113482444966</v>
      </c>
      <c r="AD42" s="1444">
        <v>0</v>
      </c>
      <c r="AE42" s="1445">
        <v>0</v>
      </c>
    </row>
    <row r="43" spans="2:31" x14ac:dyDescent="0.2">
      <c r="B43" s="523">
        <v>2028</v>
      </c>
      <c r="C43" s="1419">
        <v>83037.8505026809</v>
      </c>
      <c r="D43" s="1420">
        <v>926.20631570770945</v>
      </c>
      <c r="E43" s="1420">
        <v>5602.5853599658076</v>
      </c>
      <c r="F43" s="1420">
        <v>153399.55329746869</v>
      </c>
      <c r="G43" s="1420">
        <v>62164.647097111483</v>
      </c>
      <c r="H43" s="1421">
        <v>1000000</v>
      </c>
      <c r="I43" s="1358">
        <f t="shared" si="6"/>
        <v>0</v>
      </c>
      <c r="J43" s="524">
        <f t="shared" si="6"/>
        <v>0</v>
      </c>
      <c r="K43" s="524">
        <f t="shared" si="6"/>
        <v>0</v>
      </c>
      <c r="L43" s="524">
        <f t="shared" si="6"/>
        <v>0</v>
      </c>
      <c r="M43" s="1363">
        <f t="shared" si="6"/>
        <v>0</v>
      </c>
      <c r="N43" s="1484">
        <v>7.3264307414802223</v>
      </c>
      <c r="O43" s="1441">
        <v>7.6363608701175529</v>
      </c>
      <c r="P43" s="1441">
        <v>11.301180035708263</v>
      </c>
      <c r="Q43" s="1462">
        <v>27.330590010718229</v>
      </c>
      <c r="R43" s="1462">
        <v>17.881442405291828</v>
      </c>
      <c r="S43" s="1463">
        <v>1</v>
      </c>
      <c r="T43" s="1443">
        <v>1</v>
      </c>
      <c r="U43" s="1444">
        <v>1</v>
      </c>
      <c r="V43" s="1444">
        <v>1</v>
      </c>
      <c r="W43" s="1444">
        <v>1</v>
      </c>
      <c r="X43" s="1444">
        <v>1</v>
      </c>
      <c r="Y43" s="1445">
        <v>1</v>
      </c>
      <c r="Z43" s="1443">
        <v>0</v>
      </c>
      <c r="AA43" s="1444">
        <v>0</v>
      </c>
      <c r="AB43" s="1444">
        <v>0</v>
      </c>
      <c r="AC43" s="1444">
        <v>278.82633234864386</v>
      </c>
      <c r="AD43" s="1444">
        <v>0</v>
      </c>
      <c r="AE43" s="1445">
        <v>0</v>
      </c>
    </row>
    <row r="44" spans="2:31" x14ac:dyDescent="0.2">
      <c r="B44" s="523">
        <v>2029</v>
      </c>
      <c r="C44" s="1419">
        <v>83446.393709348864</v>
      </c>
      <c r="D44" s="1420">
        <v>1328.2777819645421</v>
      </c>
      <c r="E44" s="1420">
        <v>5772.9734486621273</v>
      </c>
      <c r="F44" s="1420">
        <v>136015.3123713588</v>
      </c>
      <c r="G44" s="1420">
        <v>59495.376089159094</v>
      </c>
      <c r="H44" s="1421">
        <v>1000000</v>
      </c>
      <c r="I44" s="1358">
        <f t="shared" si="6"/>
        <v>0</v>
      </c>
      <c r="J44" s="524">
        <f t="shared" si="6"/>
        <v>0</v>
      </c>
      <c r="K44" s="524">
        <f t="shared" si="6"/>
        <v>0</v>
      </c>
      <c r="L44" s="524">
        <f t="shared" si="6"/>
        <v>0</v>
      </c>
      <c r="M44" s="1363">
        <f t="shared" si="6"/>
        <v>0</v>
      </c>
      <c r="N44" s="1484">
        <v>7.5042230311669371</v>
      </c>
      <c r="O44" s="1441">
        <v>7.7416248737565976</v>
      </c>
      <c r="P44" s="1441">
        <v>11.562880206047257</v>
      </c>
      <c r="Q44" s="1462">
        <v>27.896543797525187</v>
      </c>
      <c r="R44" s="1462">
        <v>18.226271994158786</v>
      </c>
      <c r="S44" s="1463">
        <v>1</v>
      </c>
      <c r="T44" s="1443">
        <v>1</v>
      </c>
      <c r="U44" s="1444">
        <v>1</v>
      </c>
      <c r="V44" s="1444">
        <v>1</v>
      </c>
      <c r="W44" s="1444">
        <v>1</v>
      </c>
      <c r="X44" s="1444">
        <v>1</v>
      </c>
      <c r="Y44" s="1445">
        <v>1</v>
      </c>
      <c r="Z44" s="1443">
        <v>0</v>
      </c>
      <c r="AA44" s="1444">
        <v>0</v>
      </c>
      <c r="AB44" s="1444">
        <v>0</v>
      </c>
      <c r="AC44" s="1444">
        <v>280.16152987283806</v>
      </c>
      <c r="AD44" s="1444">
        <v>0</v>
      </c>
      <c r="AE44" s="1445">
        <v>0</v>
      </c>
    </row>
    <row r="45" spans="2:31" ht="13.5" thickBot="1" x14ac:dyDescent="0.25">
      <c r="B45" s="525">
        <v>2030</v>
      </c>
      <c r="C45" s="1422">
        <v>83815.84790700287</v>
      </c>
      <c r="D45" s="1423">
        <v>1681.2099123330988</v>
      </c>
      <c r="E45" s="1423">
        <v>5922.5374843617083</v>
      </c>
      <c r="F45" s="1423">
        <v>120755.69387116659</v>
      </c>
      <c r="G45" s="1423">
        <v>57152.331176924781</v>
      </c>
      <c r="H45" s="1424">
        <v>1000000</v>
      </c>
      <c r="I45" s="1359">
        <f t="shared" si="6"/>
        <v>0</v>
      </c>
      <c r="J45" s="526">
        <f t="shared" si="6"/>
        <v>0</v>
      </c>
      <c r="K45" s="526">
        <f t="shared" si="6"/>
        <v>0</v>
      </c>
      <c r="L45" s="526">
        <f t="shared" si="6"/>
        <v>0</v>
      </c>
      <c r="M45" s="1364">
        <f t="shared" si="6"/>
        <v>0</v>
      </c>
      <c r="N45" s="1485">
        <v>7.665004330826771</v>
      </c>
      <c r="O45" s="1447">
        <v>7.8340239922549006</v>
      </c>
      <c r="P45" s="1447">
        <v>11.792596578351473</v>
      </c>
      <c r="Q45" s="1458">
        <v>28.393329300678349</v>
      </c>
      <c r="R45" s="1458">
        <v>18.528958087618573</v>
      </c>
      <c r="S45" s="1459">
        <v>1</v>
      </c>
      <c r="T45" s="1449">
        <v>1</v>
      </c>
      <c r="U45" s="1450">
        <v>1</v>
      </c>
      <c r="V45" s="1450">
        <v>1</v>
      </c>
      <c r="W45" s="1450">
        <v>1</v>
      </c>
      <c r="X45" s="1450">
        <v>1</v>
      </c>
      <c r="Y45" s="1451">
        <v>1</v>
      </c>
      <c r="Z45" s="1449">
        <v>0</v>
      </c>
      <c r="AA45" s="1450">
        <v>0</v>
      </c>
      <c r="AB45" s="1450">
        <v>0</v>
      </c>
      <c r="AC45" s="1450">
        <v>281.49672739703226</v>
      </c>
      <c r="AD45" s="1450">
        <v>0</v>
      </c>
      <c r="AE45" s="1451">
        <v>0</v>
      </c>
    </row>
    <row r="46" spans="2:31" x14ac:dyDescent="0.2">
      <c r="B46" s="527">
        <v>2031</v>
      </c>
      <c r="C46" s="1425">
        <v>84154.683571299582</v>
      </c>
      <c r="D46" s="1426">
        <v>1913.1131031262105</v>
      </c>
      <c r="E46" s="1426">
        <v>6020.8124050112037</v>
      </c>
      <c r="F46" s="1426">
        <v>110728.96658854511</v>
      </c>
      <c r="G46" s="1426">
        <v>55612.772875017552</v>
      </c>
      <c r="H46" s="1427">
        <v>1000000</v>
      </c>
      <c r="I46" s="1357">
        <f t="shared" si="6"/>
        <v>0</v>
      </c>
      <c r="J46" s="528">
        <f t="shared" si="6"/>
        <v>0</v>
      </c>
      <c r="K46" s="528">
        <f t="shared" si="6"/>
        <v>0</v>
      </c>
      <c r="L46" s="528">
        <f t="shared" si="6"/>
        <v>0</v>
      </c>
      <c r="M46" s="1362">
        <f t="shared" si="6"/>
        <v>0</v>
      </c>
      <c r="N46" s="1486">
        <v>7.8124608729980709</v>
      </c>
      <c r="O46" s="1453">
        <v>7.8947372245238103</v>
      </c>
      <c r="P46" s="1453">
        <v>11.94353766625734</v>
      </c>
      <c r="Q46" s="1460">
        <v>28.71975507325018</v>
      </c>
      <c r="R46" s="1460">
        <v>18.727845819400677</v>
      </c>
      <c r="S46" s="1461">
        <v>1</v>
      </c>
      <c r="T46" s="1455">
        <v>1</v>
      </c>
      <c r="U46" s="1456">
        <v>1</v>
      </c>
      <c r="V46" s="1456">
        <v>1</v>
      </c>
      <c r="W46" s="1456">
        <v>1</v>
      </c>
      <c r="X46" s="1456">
        <v>1</v>
      </c>
      <c r="Y46" s="1457">
        <v>1</v>
      </c>
      <c r="Z46" s="1455">
        <v>0</v>
      </c>
      <c r="AA46" s="1456">
        <v>0</v>
      </c>
      <c r="AB46" s="1456">
        <v>0</v>
      </c>
      <c r="AC46" s="1456">
        <v>282.83192492122646</v>
      </c>
      <c r="AD46" s="1456">
        <v>0</v>
      </c>
      <c r="AE46" s="1457">
        <v>0</v>
      </c>
    </row>
    <row r="47" spans="2:31" x14ac:dyDescent="0.2">
      <c r="B47" s="523">
        <v>2032</v>
      </c>
      <c r="C47" s="1419">
        <v>84191.182466604063</v>
      </c>
      <c r="D47" s="1426">
        <v>2037.9405862784147</v>
      </c>
      <c r="E47" s="1426">
        <v>6073.7112502565178</v>
      </c>
      <c r="F47" s="1426">
        <v>105331.83890495136</v>
      </c>
      <c r="G47" s="1426">
        <v>54784.068503439463</v>
      </c>
      <c r="H47" s="1427">
        <v>1000000</v>
      </c>
      <c r="I47" s="1358">
        <f t="shared" si="6"/>
        <v>0</v>
      </c>
      <c r="J47" s="529">
        <f t="shared" si="6"/>
        <v>0</v>
      </c>
      <c r="K47" s="524">
        <f t="shared" si="6"/>
        <v>0</v>
      </c>
      <c r="L47" s="529">
        <f t="shared" si="6"/>
        <v>0</v>
      </c>
      <c r="M47" s="1363">
        <f t="shared" si="6"/>
        <v>0</v>
      </c>
      <c r="N47" s="1486">
        <v>7.8283446817637188</v>
      </c>
      <c r="O47" s="1441">
        <v>7.9274175854634077</v>
      </c>
      <c r="P47" s="1441">
        <v>12.024785345701106</v>
      </c>
      <c r="Q47" s="1462">
        <v>28.895461614789355</v>
      </c>
      <c r="R47" s="1462">
        <v>18.834901935805558</v>
      </c>
      <c r="S47" s="1463">
        <v>1</v>
      </c>
      <c r="T47" s="1455">
        <v>1</v>
      </c>
      <c r="U47" s="1456">
        <v>1</v>
      </c>
      <c r="V47" s="1456">
        <v>1</v>
      </c>
      <c r="W47" s="1456">
        <v>1</v>
      </c>
      <c r="X47" s="1456">
        <v>1</v>
      </c>
      <c r="Y47" s="1457">
        <v>1</v>
      </c>
      <c r="Z47" s="1455">
        <v>0</v>
      </c>
      <c r="AA47" s="1456">
        <v>0</v>
      </c>
      <c r="AB47" s="1456">
        <v>0</v>
      </c>
      <c r="AC47" s="1456">
        <v>284.16712244542066</v>
      </c>
      <c r="AD47" s="1456">
        <v>0</v>
      </c>
      <c r="AE47" s="1457">
        <v>0</v>
      </c>
    </row>
    <row r="48" spans="2:31" x14ac:dyDescent="0.2">
      <c r="B48" s="523">
        <v>2033</v>
      </c>
      <c r="C48" s="1419">
        <v>84227.755569188754</v>
      </c>
      <c r="D48" s="1426">
        <v>2097.9971608272308</v>
      </c>
      <c r="E48" s="1426">
        <v>6099.1617629384727</v>
      </c>
      <c r="F48" s="1426">
        <v>102735.1911724644</v>
      </c>
      <c r="G48" s="1426">
        <v>54385.365072001012</v>
      </c>
      <c r="H48" s="1427">
        <v>1000000</v>
      </c>
      <c r="I48" s="1358">
        <f t="shared" si="6"/>
        <v>0</v>
      </c>
      <c r="J48" s="524">
        <f t="shared" si="6"/>
        <v>0</v>
      </c>
      <c r="K48" s="524">
        <f t="shared" si="6"/>
        <v>0</v>
      </c>
      <c r="L48" s="524">
        <f t="shared" si="6"/>
        <v>0</v>
      </c>
      <c r="M48" s="1363">
        <f t="shared" si="6"/>
        <v>0</v>
      </c>
      <c r="N48" s="1486">
        <v>7.8442607844998591</v>
      </c>
      <c r="O48" s="1441">
        <v>7.9431406496756214</v>
      </c>
      <c r="P48" s="1441">
        <v>12.063874953167465</v>
      </c>
      <c r="Q48" s="1462">
        <v>28.979996949029776</v>
      </c>
      <c r="R48" s="1462">
        <v>18.886408410769384</v>
      </c>
      <c r="S48" s="1463">
        <v>1</v>
      </c>
      <c r="T48" s="1455">
        <v>1</v>
      </c>
      <c r="U48" s="1456">
        <v>1</v>
      </c>
      <c r="V48" s="1456">
        <v>1</v>
      </c>
      <c r="W48" s="1456">
        <v>1</v>
      </c>
      <c r="X48" s="1456">
        <v>1</v>
      </c>
      <c r="Y48" s="1457">
        <v>1</v>
      </c>
      <c r="Z48" s="1455">
        <v>0</v>
      </c>
      <c r="AA48" s="1456">
        <v>0</v>
      </c>
      <c r="AB48" s="1456">
        <v>0</v>
      </c>
      <c r="AC48" s="1456">
        <v>285.50231996961486</v>
      </c>
      <c r="AD48" s="1456">
        <v>0</v>
      </c>
      <c r="AE48" s="1457">
        <v>0</v>
      </c>
    </row>
    <row r="49" spans="2:31" x14ac:dyDescent="0.2">
      <c r="B49" s="523">
        <v>2034</v>
      </c>
      <c r="C49" s="1419">
        <v>84264.403029927285</v>
      </c>
      <c r="D49" s="1426">
        <v>2125.329147712132</v>
      </c>
      <c r="E49" s="1426">
        <v>6110.7443928846997</v>
      </c>
      <c r="F49" s="1426">
        <v>101553.44642091604</v>
      </c>
      <c r="G49" s="1426">
        <v>54203.913548318422</v>
      </c>
      <c r="H49" s="1427">
        <v>1000000</v>
      </c>
      <c r="I49" s="1358">
        <f t="shared" si="6"/>
        <v>0</v>
      </c>
      <c r="J49" s="524">
        <f t="shared" si="6"/>
        <v>0</v>
      </c>
      <c r="K49" s="524">
        <f t="shared" si="6"/>
        <v>0</v>
      </c>
      <c r="L49" s="524">
        <f t="shared" si="6"/>
        <v>0</v>
      </c>
      <c r="M49" s="1363">
        <f t="shared" si="6"/>
        <v>0</v>
      </c>
      <c r="N49" s="1486">
        <v>7.8602092468645806</v>
      </c>
      <c r="O49" s="1441">
        <v>7.9502962789812752</v>
      </c>
      <c r="P49" s="1441">
        <v>12.081664789611395</v>
      </c>
      <c r="Q49" s="1462">
        <v>29.018469317194757</v>
      </c>
      <c r="R49" s="1462">
        <v>18.909849213192345</v>
      </c>
      <c r="S49" s="1463">
        <v>1</v>
      </c>
      <c r="T49" s="1455">
        <v>1</v>
      </c>
      <c r="U49" s="1456">
        <v>1</v>
      </c>
      <c r="V49" s="1456">
        <v>1</v>
      </c>
      <c r="W49" s="1456">
        <v>1</v>
      </c>
      <c r="X49" s="1456">
        <v>1</v>
      </c>
      <c r="Y49" s="1457">
        <v>1</v>
      </c>
      <c r="Z49" s="1455">
        <v>0</v>
      </c>
      <c r="AA49" s="1456">
        <v>0</v>
      </c>
      <c r="AB49" s="1456">
        <v>0</v>
      </c>
      <c r="AC49" s="1456">
        <v>286.83751749380906</v>
      </c>
      <c r="AD49" s="1456">
        <v>0</v>
      </c>
      <c r="AE49" s="1457">
        <v>0</v>
      </c>
    </row>
    <row r="50" spans="2:31" ht="13.5" thickBot="1" x14ac:dyDescent="0.25">
      <c r="B50" s="530">
        <v>2035</v>
      </c>
      <c r="C50" s="1428">
        <v>84301.125</v>
      </c>
      <c r="D50" s="1429">
        <v>2146.875</v>
      </c>
      <c r="E50" s="1429">
        <v>6119.875</v>
      </c>
      <c r="F50" s="1429">
        <v>100621.875</v>
      </c>
      <c r="G50" s="1429">
        <v>54060.875</v>
      </c>
      <c r="H50" s="1430">
        <v>1000000</v>
      </c>
      <c r="I50" s="1360">
        <f t="shared" si="6"/>
        <v>0</v>
      </c>
      <c r="J50" s="531">
        <f t="shared" si="6"/>
        <v>0</v>
      </c>
      <c r="K50" s="531">
        <f t="shared" si="6"/>
        <v>0</v>
      </c>
      <c r="L50" s="531">
        <f t="shared" si="6"/>
        <v>0</v>
      </c>
      <c r="M50" s="1365">
        <f t="shared" si="6"/>
        <v>0</v>
      </c>
      <c r="N50" s="1487">
        <v>7.8761901346494616</v>
      </c>
      <c r="O50" s="1447">
        <v>7.955937073874658</v>
      </c>
      <c r="P50" s="1447">
        <v>12.095688548288747</v>
      </c>
      <c r="Q50" s="1458">
        <v>29.048797151213481</v>
      </c>
      <c r="R50" s="1458">
        <v>18.928327638073828</v>
      </c>
      <c r="S50" s="1459">
        <v>1</v>
      </c>
      <c r="T50" s="1465">
        <v>1</v>
      </c>
      <c r="U50" s="1466">
        <v>1</v>
      </c>
      <c r="V50" s="1466">
        <v>1</v>
      </c>
      <c r="W50" s="1466">
        <v>1</v>
      </c>
      <c r="X50" s="1466">
        <v>1</v>
      </c>
      <c r="Y50" s="1467">
        <v>1</v>
      </c>
      <c r="Z50" s="1465">
        <v>0</v>
      </c>
      <c r="AA50" s="1466">
        <v>0</v>
      </c>
      <c r="AB50" s="1466">
        <v>0</v>
      </c>
      <c r="AC50" s="1466">
        <v>288.17271501800315</v>
      </c>
      <c r="AD50" s="1466">
        <v>0</v>
      </c>
      <c r="AE50" s="1467">
        <v>0</v>
      </c>
    </row>
    <row r="51" spans="2:31" x14ac:dyDescent="0.2">
      <c r="B51" s="532">
        <v>2036</v>
      </c>
      <c r="C51" s="1416">
        <v>84307.830725171938</v>
      </c>
      <c r="D51" s="1417">
        <v>2108.4743346955097</v>
      </c>
      <c r="E51" s="1417">
        <v>5951.6096766349319</v>
      </c>
      <c r="F51" s="1417">
        <v>98351.271402470971</v>
      </c>
      <c r="G51" s="1417">
        <v>53035.341997820513</v>
      </c>
      <c r="H51" s="1418">
        <v>1000000</v>
      </c>
      <c r="I51" s="1361">
        <f t="shared" si="6"/>
        <v>0</v>
      </c>
      <c r="J51" s="533">
        <f t="shared" si="6"/>
        <v>0</v>
      </c>
      <c r="K51" s="533">
        <f t="shared" si="6"/>
        <v>0</v>
      </c>
      <c r="L51" s="533">
        <f t="shared" si="6"/>
        <v>0</v>
      </c>
      <c r="M51" s="1366">
        <f t="shared" si="6"/>
        <v>0</v>
      </c>
      <c r="N51" s="1483">
        <v>7.8768612391973623</v>
      </c>
      <c r="O51" s="1435">
        <v>7.9993981272727916</v>
      </c>
      <c r="P51" s="1435">
        <v>12.212826057193588</v>
      </c>
      <c r="Q51" s="1468">
        <v>29.322623280929417</v>
      </c>
      <c r="R51" s="1468">
        <v>19.143733302863581</v>
      </c>
      <c r="S51" s="1469">
        <v>1</v>
      </c>
      <c r="T51" s="1437">
        <v>1</v>
      </c>
      <c r="U51" s="1438">
        <v>1</v>
      </c>
      <c r="V51" s="1438">
        <v>1</v>
      </c>
      <c r="W51" s="1438">
        <v>1</v>
      </c>
      <c r="X51" s="1438">
        <v>1</v>
      </c>
      <c r="Y51" s="1439">
        <v>1</v>
      </c>
      <c r="Z51" s="1437">
        <v>0</v>
      </c>
      <c r="AA51" s="1438">
        <v>0</v>
      </c>
      <c r="AB51" s="1438">
        <v>0</v>
      </c>
      <c r="AC51" s="1438">
        <v>288.69998661681103</v>
      </c>
      <c r="AD51" s="1438">
        <v>0</v>
      </c>
      <c r="AE51" s="1439">
        <v>0</v>
      </c>
    </row>
    <row r="52" spans="2:31" x14ac:dyDescent="0.2">
      <c r="B52" s="523">
        <v>2037</v>
      </c>
      <c r="C52" s="1419">
        <v>84319.909683867867</v>
      </c>
      <c r="D52" s="1420">
        <v>2084.6114675148324</v>
      </c>
      <c r="E52" s="1420">
        <v>5847.0465647529927</v>
      </c>
      <c r="F52" s="1420">
        <v>96940.277305411233</v>
      </c>
      <c r="G52" s="1420">
        <v>52398.057262611786</v>
      </c>
      <c r="H52" s="1421">
        <v>1000000</v>
      </c>
      <c r="I52" s="1358">
        <f t="shared" si="6"/>
        <v>0</v>
      </c>
      <c r="J52" s="524">
        <f t="shared" si="6"/>
        <v>0</v>
      </c>
      <c r="K52" s="524">
        <f t="shared" si="6"/>
        <v>0</v>
      </c>
      <c r="L52" s="524">
        <f t="shared" si="6"/>
        <v>0</v>
      </c>
      <c r="M52" s="1363">
        <f t="shared" si="6"/>
        <v>0</v>
      </c>
      <c r="N52" s="1484">
        <v>7.8780700934087866</v>
      </c>
      <c r="O52" s="1441">
        <v>8.0264056110376814</v>
      </c>
      <c r="P52" s="1441">
        <v>12.285617421476143</v>
      </c>
      <c r="Q52" s="1462">
        <v>29.492783784977927</v>
      </c>
      <c r="R52" s="1462">
        <v>19.277590274561476</v>
      </c>
      <c r="S52" s="1463">
        <v>1</v>
      </c>
      <c r="T52" s="1443">
        <v>1</v>
      </c>
      <c r="U52" s="1444">
        <v>1</v>
      </c>
      <c r="V52" s="1444">
        <v>1</v>
      </c>
      <c r="W52" s="1444">
        <v>1</v>
      </c>
      <c r="X52" s="1444">
        <v>1</v>
      </c>
      <c r="Y52" s="1445">
        <v>1</v>
      </c>
      <c r="Z52" s="1443">
        <v>0</v>
      </c>
      <c r="AA52" s="1444">
        <v>0</v>
      </c>
      <c r="AB52" s="1444">
        <v>0</v>
      </c>
      <c r="AC52" s="1444">
        <v>289.22725821561892</v>
      </c>
      <c r="AD52" s="1444">
        <v>0</v>
      </c>
      <c r="AE52" s="1445">
        <v>0</v>
      </c>
    </row>
    <row r="53" spans="2:31" x14ac:dyDescent="0.2">
      <c r="B53" s="523">
        <v>2038</v>
      </c>
      <c r="C53" s="1419">
        <v>84329.394702993392</v>
      </c>
      <c r="D53" s="1420">
        <v>2046.9481137953117</v>
      </c>
      <c r="E53" s="1420">
        <v>5682.0120180237482</v>
      </c>
      <c r="F53" s="1420">
        <v>94713.270409242934</v>
      </c>
      <c r="G53" s="1420">
        <v>51392.21499644639</v>
      </c>
      <c r="H53" s="1421">
        <v>1000000</v>
      </c>
      <c r="I53" s="1358">
        <f t="shared" si="6"/>
        <v>0</v>
      </c>
      <c r="J53" s="524">
        <f t="shared" si="6"/>
        <v>0</v>
      </c>
      <c r="K53" s="524">
        <f t="shared" si="6"/>
        <v>0</v>
      </c>
      <c r="L53" s="524">
        <f t="shared" si="6"/>
        <v>0</v>
      </c>
      <c r="M53" s="1363">
        <f t="shared" si="6"/>
        <v>0</v>
      </c>
      <c r="N53" s="1484">
        <v>7.8790193478605959</v>
      </c>
      <c r="O53" s="1441">
        <v>8.0690321909205434</v>
      </c>
      <c r="P53" s="1441">
        <v>12.4005058328285</v>
      </c>
      <c r="Q53" s="1462">
        <v>29.761352318865608</v>
      </c>
      <c r="R53" s="1462">
        <v>19.488860045067671</v>
      </c>
      <c r="S53" s="1463">
        <v>1</v>
      </c>
      <c r="T53" s="1443">
        <v>1</v>
      </c>
      <c r="U53" s="1444">
        <v>1</v>
      </c>
      <c r="V53" s="1444">
        <v>1</v>
      </c>
      <c r="W53" s="1444">
        <v>1</v>
      </c>
      <c r="X53" s="1444">
        <v>1</v>
      </c>
      <c r="Y53" s="1445">
        <v>1</v>
      </c>
      <c r="Z53" s="1443">
        <v>0</v>
      </c>
      <c r="AA53" s="1444">
        <v>0</v>
      </c>
      <c r="AB53" s="1444">
        <v>0</v>
      </c>
      <c r="AC53" s="1444">
        <v>289.7545298144268</v>
      </c>
      <c r="AD53" s="1444">
        <v>0</v>
      </c>
      <c r="AE53" s="1445">
        <v>0</v>
      </c>
    </row>
    <row r="54" spans="2:31" x14ac:dyDescent="0.2">
      <c r="B54" s="523">
        <v>2039</v>
      </c>
      <c r="C54" s="1419">
        <v>84340.183368722908</v>
      </c>
      <c r="D54" s="1420">
        <v>1989.0396025816528</v>
      </c>
      <c r="E54" s="1420">
        <v>5428.2665610715621</v>
      </c>
      <c r="F54" s="1420">
        <v>91289.181976225431</v>
      </c>
      <c r="G54" s="1420">
        <v>49845.703005422496</v>
      </c>
      <c r="H54" s="1421">
        <v>1000000</v>
      </c>
      <c r="I54" s="1358">
        <f t="shared" si="6"/>
        <v>0</v>
      </c>
      <c r="J54" s="524">
        <f t="shared" si="6"/>
        <v>0</v>
      </c>
      <c r="K54" s="524">
        <f t="shared" si="6"/>
        <v>0</v>
      </c>
      <c r="L54" s="524">
        <f t="shared" si="6"/>
        <v>0</v>
      </c>
      <c r="M54" s="1363">
        <f t="shared" si="6"/>
        <v>0</v>
      </c>
      <c r="N54" s="1484">
        <v>7.8800990704038281</v>
      </c>
      <c r="O54" s="1441">
        <v>8.1345718079586096</v>
      </c>
      <c r="P54" s="1441">
        <v>12.577150135581316</v>
      </c>
      <c r="Q54" s="1462">
        <v>30.174284318285775</v>
      </c>
      <c r="R54" s="1462">
        <v>19.813693514906142</v>
      </c>
      <c r="S54" s="1463">
        <v>1</v>
      </c>
      <c r="T54" s="1443">
        <v>1</v>
      </c>
      <c r="U54" s="1444">
        <v>1</v>
      </c>
      <c r="V54" s="1444">
        <v>1</v>
      </c>
      <c r="W54" s="1444">
        <v>1</v>
      </c>
      <c r="X54" s="1444">
        <v>1</v>
      </c>
      <c r="Y54" s="1445">
        <v>1</v>
      </c>
      <c r="Z54" s="1443">
        <v>0</v>
      </c>
      <c r="AA54" s="1444">
        <v>0</v>
      </c>
      <c r="AB54" s="1444">
        <v>0</v>
      </c>
      <c r="AC54" s="1444">
        <v>290.28180141323469</v>
      </c>
      <c r="AD54" s="1444">
        <v>0</v>
      </c>
      <c r="AE54" s="1445">
        <v>0</v>
      </c>
    </row>
    <row r="55" spans="2:31" ht="13.5" thickBot="1" x14ac:dyDescent="0.25">
      <c r="B55" s="525">
        <v>2040</v>
      </c>
      <c r="C55" s="1422">
        <v>84354.477774657062</v>
      </c>
      <c r="D55" s="1423">
        <v>1903.4934577023982</v>
      </c>
      <c r="E55" s="1423">
        <v>5053.4175938308936</v>
      </c>
      <c r="F55" s="1423">
        <v>86230.900230912463</v>
      </c>
      <c r="G55" s="1423">
        <v>47561.096890209017</v>
      </c>
      <c r="H55" s="1424">
        <v>1000000</v>
      </c>
      <c r="I55" s="1359">
        <f t="shared" si="6"/>
        <v>0</v>
      </c>
      <c r="J55" s="526">
        <f t="shared" si="6"/>
        <v>0</v>
      </c>
      <c r="K55" s="526">
        <f t="shared" si="6"/>
        <v>0</v>
      </c>
      <c r="L55" s="526">
        <f t="shared" si="6"/>
        <v>0</v>
      </c>
      <c r="M55" s="1364">
        <f t="shared" si="6"/>
        <v>0</v>
      </c>
      <c r="N55" s="1485">
        <v>7.8815296451121526</v>
      </c>
      <c r="O55" s="1447">
        <v>8.2313911089035603</v>
      </c>
      <c r="P55" s="1447">
        <v>12.838100362045148</v>
      </c>
      <c r="Q55" s="1458">
        <v>30.784293795430589</v>
      </c>
      <c r="R55" s="1458">
        <v>20.293558227191788</v>
      </c>
      <c r="S55" s="1459">
        <v>1</v>
      </c>
      <c r="T55" s="1449">
        <v>1</v>
      </c>
      <c r="U55" s="1450">
        <v>1</v>
      </c>
      <c r="V55" s="1450">
        <v>1</v>
      </c>
      <c r="W55" s="1450">
        <v>1</v>
      </c>
      <c r="X55" s="1450">
        <v>1</v>
      </c>
      <c r="Y55" s="1451">
        <v>1</v>
      </c>
      <c r="Z55" s="1449">
        <v>0</v>
      </c>
      <c r="AA55" s="1450">
        <v>0</v>
      </c>
      <c r="AB55" s="1450">
        <v>0</v>
      </c>
      <c r="AC55" s="1450">
        <v>290.80907301204257</v>
      </c>
      <c r="AD55" s="1450">
        <v>0</v>
      </c>
      <c r="AE55" s="1451">
        <v>0</v>
      </c>
    </row>
    <row r="56" spans="2:31" x14ac:dyDescent="0.2">
      <c r="B56" s="532">
        <v>2041</v>
      </c>
      <c r="C56" s="1416">
        <v>84371.726593949134</v>
      </c>
      <c r="D56" s="1417">
        <v>1784.3023586972981</v>
      </c>
      <c r="E56" s="1417">
        <v>4531.1420379960437</v>
      </c>
      <c r="F56" s="1417">
        <v>79183.216654378979</v>
      </c>
      <c r="G56" s="1417">
        <v>44377.964394286326</v>
      </c>
      <c r="H56" s="1418">
        <v>1000000</v>
      </c>
      <c r="I56" s="1361">
        <f t="shared" si="6"/>
        <v>0</v>
      </c>
      <c r="J56" s="533">
        <f t="shared" si="6"/>
        <v>0</v>
      </c>
      <c r="K56" s="533">
        <f t="shared" si="6"/>
        <v>0</v>
      </c>
      <c r="L56" s="533">
        <f t="shared" si="6"/>
        <v>0</v>
      </c>
      <c r="M56" s="1366">
        <f t="shared" si="6"/>
        <v>0</v>
      </c>
      <c r="N56" s="1483">
        <v>7.8832558955587535</v>
      </c>
      <c r="O56" s="1453">
        <v>8.3662890508367997</v>
      </c>
      <c r="P56" s="1453">
        <v>13.20168126124001</v>
      </c>
      <c r="Q56" s="1453">
        <v>31.634217542281366</v>
      </c>
      <c r="R56" s="1453">
        <v>20.96215179750196</v>
      </c>
      <c r="S56" s="1454">
        <v>1</v>
      </c>
      <c r="T56" s="1437">
        <v>1</v>
      </c>
      <c r="U56" s="1438">
        <v>1</v>
      </c>
      <c r="V56" s="1438">
        <v>1</v>
      </c>
      <c r="W56" s="1438">
        <v>1</v>
      </c>
      <c r="X56" s="1438">
        <v>1</v>
      </c>
      <c r="Y56" s="1439">
        <v>1</v>
      </c>
      <c r="Z56" s="1437">
        <v>0</v>
      </c>
      <c r="AA56" s="1438">
        <v>0</v>
      </c>
      <c r="AB56" s="1438">
        <v>0</v>
      </c>
      <c r="AC56" s="1438">
        <v>291.33634461085046</v>
      </c>
      <c r="AD56" s="1438">
        <v>0</v>
      </c>
      <c r="AE56" s="1439">
        <v>0</v>
      </c>
    </row>
    <row r="57" spans="2:31" x14ac:dyDescent="0.2">
      <c r="B57" s="523">
        <v>2042</v>
      </c>
      <c r="C57" s="1419">
        <v>84392.430679444951</v>
      </c>
      <c r="D57" s="1420">
        <v>1631.098102915345</v>
      </c>
      <c r="E57" s="1420">
        <v>3859.8264908396181</v>
      </c>
      <c r="F57" s="1420">
        <v>70124.359689872741</v>
      </c>
      <c r="G57" s="1420">
        <v>40286.472251300744</v>
      </c>
      <c r="H57" s="1421">
        <v>1000000</v>
      </c>
      <c r="I57" s="1358">
        <f t="shared" si="6"/>
        <v>0</v>
      </c>
      <c r="J57" s="524">
        <f t="shared" si="6"/>
        <v>0</v>
      </c>
      <c r="K57" s="524">
        <f t="shared" si="6"/>
        <v>0</v>
      </c>
      <c r="L57" s="524">
        <f t="shared" si="6"/>
        <v>0</v>
      </c>
      <c r="M57" s="1363">
        <f t="shared" si="6"/>
        <v>0</v>
      </c>
      <c r="N57" s="1484">
        <v>7.8853279467657602</v>
      </c>
      <c r="O57" s="1441">
        <v>8.5396823576601122</v>
      </c>
      <c r="P57" s="1441">
        <v>13.669015999677978</v>
      </c>
      <c r="Q57" s="1441">
        <v>32.726681125506744</v>
      </c>
      <c r="R57" s="1441">
        <v>21.821539631115151</v>
      </c>
      <c r="S57" s="1442">
        <v>1</v>
      </c>
      <c r="T57" s="1443">
        <v>1</v>
      </c>
      <c r="U57" s="1444">
        <v>1</v>
      </c>
      <c r="V57" s="1444">
        <v>1</v>
      </c>
      <c r="W57" s="1444">
        <v>1</v>
      </c>
      <c r="X57" s="1444">
        <v>1</v>
      </c>
      <c r="Y57" s="1445">
        <v>1</v>
      </c>
      <c r="Z57" s="1443">
        <v>0</v>
      </c>
      <c r="AA57" s="1444">
        <v>0</v>
      </c>
      <c r="AB57" s="1444">
        <v>0</v>
      </c>
      <c r="AC57" s="1444">
        <v>291.86361620965835</v>
      </c>
      <c r="AD57" s="1444">
        <v>0</v>
      </c>
      <c r="AE57" s="1445">
        <v>0</v>
      </c>
    </row>
    <row r="58" spans="2:31" x14ac:dyDescent="0.2">
      <c r="B58" s="523">
        <v>2043</v>
      </c>
      <c r="C58" s="1419">
        <v>84416.778456341228</v>
      </c>
      <c r="D58" s="1420">
        <v>1453.3578667348015</v>
      </c>
      <c r="E58" s="1420">
        <v>3080.9983617237081</v>
      </c>
      <c r="F58" s="1420">
        <v>59614.707930010998</v>
      </c>
      <c r="G58" s="1420">
        <v>35539.719126765405</v>
      </c>
      <c r="H58" s="1421">
        <v>1000000</v>
      </c>
      <c r="I58" s="1358">
        <f t="shared" si="6"/>
        <v>0</v>
      </c>
      <c r="J58" s="524">
        <f t="shared" si="6"/>
        <v>0</v>
      </c>
      <c r="K58" s="524">
        <f t="shared" si="6"/>
        <v>0</v>
      </c>
      <c r="L58" s="524">
        <f t="shared" si="6"/>
        <v>0</v>
      </c>
      <c r="M58" s="1363">
        <f t="shared" si="6"/>
        <v>0</v>
      </c>
      <c r="N58" s="1484">
        <v>7.8877646562024601</v>
      </c>
      <c r="O58" s="1441">
        <v>8.7408449634219512</v>
      </c>
      <c r="P58" s="1441">
        <v>14.211195369052399</v>
      </c>
      <c r="Q58" s="1441">
        <v>33.994105025124</v>
      </c>
      <c r="R58" s="1441">
        <v>22.818560214763242</v>
      </c>
      <c r="S58" s="1442">
        <v>1</v>
      </c>
      <c r="T58" s="1443">
        <v>1</v>
      </c>
      <c r="U58" s="1444">
        <v>1</v>
      </c>
      <c r="V58" s="1444">
        <v>1</v>
      </c>
      <c r="W58" s="1444">
        <v>1</v>
      </c>
      <c r="X58" s="1444">
        <v>1</v>
      </c>
      <c r="Y58" s="1445">
        <v>1</v>
      </c>
      <c r="Z58" s="1443">
        <v>0</v>
      </c>
      <c r="AA58" s="1444">
        <v>0</v>
      </c>
      <c r="AB58" s="1444">
        <v>0</v>
      </c>
      <c r="AC58" s="1444">
        <v>292.39088780846623</v>
      </c>
      <c r="AD58" s="1444">
        <v>0</v>
      </c>
      <c r="AE58" s="1445">
        <v>0</v>
      </c>
    </row>
    <row r="59" spans="2:31" x14ac:dyDescent="0.2">
      <c r="B59" s="523">
        <v>2044</v>
      </c>
      <c r="C59" s="1419">
        <v>84454.394726259314</v>
      </c>
      <c r="D59" s="1420">
        <v>1270.0988486929491</v>
      </c>
      <c r="E59" s="1420">
        <v>2277.9878491227419</v>
      </c>
      <c r="F59" s="1420">
        <v>48778.734585642778</v>
      </c>
      <c r="G59" s="1420">
        <v>30645.580719039648</v>
      </c>
      <c r="H59" s="1421">
        <v>1000000</v>
      </c>
      <c r="I59" s="1358">
        <f t="shared" si="6"/>
        <v>0</v>
      </c>
      <c r="J59" s="524">
        <f t="shared" si="6"/>
        <v>0</v>
      </c>
      <c r="K59" s="524">
        <f t="shared" si="6"/>
        <v>0</v>
      </c>
      <c r="L59" s="524">
        <f t="shared" si="6"/>
        <v>0</v>
      </c>
      <c r="M59" s="1363">
        <f t="shared" si="6"/>
        <v>0</v>
      </c>
      <c r="N59" s="1484">
        <v>7.8915292676605535</v>
      </c>
      <c r="O59" s="1441">
        <v>8.9482536087058957</v>
      </c>
      <c r="P59" s="1441">
        <v>14.77020924778485</v>
      </c>
      <c r="Q59" s="1441">
        <v>35.300882062658161</v>
      </c>
      <c r="R59" s="1441">
        <v>23.846537993195302</v>
      </c>
      <c r="S59" s="1442">
        <v>1</v>
      </c>
      <c r="T59" s="1443">
        <v>1</v>
      </c>
      <c r="U59" s="1444">
        <v>1</v>
      </c>
      <c r="V59" s="1444">
        <v>1</v>
      </c>
      <c r="W59" s="1444">
        <v>1</v>
      </c>
      <c r="X59" s="1444">
        <v>1</v>
      </c>
      <c r="Y59" s="1445">
        <v>1</v>
      </c>
      <c r="Z59" s="1443">
        <v>0</v>
      </c>
      <c r="AA59" s="1444">
        <v>0</v>
      </c>
      <c r="AB59" s="1444">
        <v>0</v>
      </c>
      <c r="AC59" s="1444">
        <v>292.91815940727412</v>
      </c>
      <c r="AD59" s="1444">
        <v>0</v>
      </c>
      <c r="AE59" s="1445">
        <v>0</v>
      </c>
    </row>
    <row r="60" spans="2:31" ht="13.5" thickBot="1" x14ac:dyDescent="0.25">
      <c r="B60" s="525">
        <v>2045</v>
      </c>
      <c r="C60" s="1422">
        <v>84486.497002834571</v>
      </c>
      <c r="D60" s="1423">
        <v>1102.7542744436228</v>
      </c>
      <c r="E60" s="1423">
        <v>1544.7117801750601</v>
      </c>
      <c r="F60" s="1423">
        <v>38883.770805599823</v>
      </c>
      <c r="G60" s="1423">
        <v>26176.455450829933</v>
      </c>
      <c r="H60" s="1424">
        <v>1000000</v>
      </c>
      <c r="I60" s="1359">
        <f t="shared" si="6"/>
        <v>0</v>
      </c>
      <c r="J60" s="526">
        <f t="shared" si="6"/>
        <v>0</v>
      </c>
      <c r="K60" s="526">
        <f t="shared" si="6"/>
        <v>0</v>
      </c>
      <c r="L60" s="526">
        <f t="shared" si="6"/>
        <v>0</v>
      </c>
      <c r="M60" s="1364">
        <f t="shared" si="6"/>
        <v>0</v>
      </c>
      <c r="N60" s="1485">
        <v>7.8947420423053876</v>
      </c>
      <c r="O60" s="1447">
        <v>9.1376506261707853</v>
      </c>
      <c r="P60" s="1447">
        <v>15.280677657664587</v>
      </c>
      <c r="Q60" s="1447">
        <v>36.494176937429401</v>
      </c>
      <c r="R60" s="1447">
        <v>24.785244887445899</v>
      </c>
      <c r="S60" s="1448">
        <v>1</v>
      </c>
      <c r="T60" s="1449">
        <v>1</v>
      </c>
      <c r="U60" s="1450">
        <v>1</v>
      </c>
      <c r="V60" s="1450">
        <v>1</v>
      </c>
      <c r="W60" s="1450">
        <v>1</v>
      </c>
      <c r="X60" s="1450">
        <v>1</v>
      </c>
      <c r="Y60" s="1451">
        <v>1</v>
      </c>
      <c r="Z60" s="1449">
        <v>0</v>
      </c>
      <c r="AA60" s="1450">
        <v>0</v>
      </c>
      <c r="AB60" s="1450">
        <v>0</v>
      </c>
      <c r="AC60" s="1450">
        <v>293.445431006082</v>
      </c>
      <c r="AD60" s="1450">
        <v>0</v>
      </c>
      <c r="AE60" s="1451">
        <v>0</v>
      </c>
    </row>
    <row r="61" spans="2:31" x14ac:dyDescent="0.2">
      <c r="B61" s="532">
        <v>2046</v>
      </c>
      <c r="C61" s="1416">
        <v>84522.416710004894</v>
      </c>
      <c r="D61" s="1417">
        <v>966.05743568144931</v>
      </c>
      <c r="E61" s="1417">
        <v>945.72898665012781</v>
      </c>
      <c r="F61" s="1417">
        <v>30800.985483962722</v>
      </c>
      <c r="G61" s="1417">
        <v>22525.812465021441</v>
      </c>
      <c r="H61" s="1418">
        <v>1000000</v>
      </c>
      <c r="I61" s="1361">
        <f t="shared" si="6"/>
        <v>0</v>
      </c>
      <c r="J61" s="533">
        <f t="shared" si="6"/>
        <v>0</v>
      </c>
      <c r="K61" s="533">
        <f t="shared" si="6"/>
        <v>0</v>
      </c>
      <c r="L61" s="533">
        <f t="shared" si="6"/>
        <v>0</v>
      </c>
      <c r="M61" s="1366">
        <f t="shared" si="6"/>
        <v>0</v>
      </c>
      <c r="N61" s="1483">
        <v>7.8983368628838031</v>
      </c>
      <c r="O61" s="1435">
        <v>9.2923611907323895</v>
      </c>
      <c r="P61" s="1435">
        <v>15.697658119872758</v>
      </c>
      <c r="Q61" s="1435">
        <v>37.468930005008986</v>
      </c>
      <c r="R61" s="1435">
        <v>25.552035597834465</v>
      </c>
      <c r="S61" s="1436">
        <v>1</v>
      </c>
      <c r="T61" s="1437">
        <v>1</v>
      </c>
      <c r="U61" s="1438">
        <v>1</v>
      </c>
      <c r="V61" s="1438">
        <v>1</v>
      </c>
      <c r="W61" s="1438">
        <v>1</v>
      </c>
      <c r="X61" s="1438">
        <v>1</v>
      </c>
      <c r="Y61" s="1439">
        <v>1</v>
      </c>
      <c r="Z61" s="1437">
        <v>0</v>
      </c>
      <c r="AA61" s="1438">
        <v>0</v>
      </c>
      <c r="AB61" s="1438">
        <v>0</v>
      </c>
      <c r="AC61" s="1438">
        <v>293.97270260488989</v>
      </c>
      <c r="AD61" s="1438">
        <v>0</v>
      </c>
      <c r="AE61" s="1439">
        <v>0</v>
      </c>
    </row>
    <row r="62" spans="2:31" x14ac:dyDescent="0.2">
      <c r="B62" s="523">
        <v>2047</v>
      </c>
      <c r="C62" s="1419">
        <v>84572.040348507464</v>
      </c>
      <c r="D62" s="1420">
        <v>864.20397284266414</v>
      </c>
      <c r="E62" s="1420">
        <v>499.42406655241393</v>
      </c>
      <c r="F62" s="1420">
        <v>24778.46380865504</v>
      </c>
      <c r="G62" s="1420">
        <v>19805.70106332592</v>
      </c>
      <c r="H62" s="1421">
        <v>1000000</v>
      </c>
      <c r="I62" s="1358">
        <f t="shared" si="6"/>
        <v>0</v>
      </c>
      <c r="J62" s="524">
        <f t="shared" si="6"/>
        <v>0</v>
      </c>
      <c r="K62" s="524">
        <f t="shared" si="6"/>
        <v>0</v>
      </c>
      <c r="L62" s="524">
        <f t="shared" si="6"/>
        <v>0</v>
      </c>
      <c r="M62" s="1363">
        <f t="shared" si="6"/>
        <v>0</v>
      </c>
      <c r="N62" s="1484">
        <v>7.9033031638622333</v>
      </c>
      <c r="O62" s="1441">
        <v>9.4076367660934146</v>
      </c>
      <c r="P62" s="1441">
        <v>16.00835223977051</v>
      </c>
      <c r="Q62" s="1441">
        <v>38.195223138374267</v>
      </c>
      <c r="R62" s="1441">
        <v>26.123374992606923</v>
      </c>
      <c r="S62" s="1442">
        <v>1</v>
      </c>
      <c r="T62" s="1443">
        <v>1</v>
      </c>
      <c r="U62" s="1444">
        <v>1</v>
      </c>
      <c r="V62" s="1444">
        <v>1</v>
      </c>
      <c r="W62" s="1444">
        <v>1</v>
      </c>
      <c r="X62" s="1444">
        <v>1</v>
      </c>
      <c r="Y62" s="1445">
        <v>1</v>
      </c>
      <c r="Z62" s="1443">
        <v>0</v>
      </c>
      <c r="AA62" s="1444">
        <v>0</v>
      </c>
      <c r="AB62" s="1444">
        <v>0</v>
      </c>
      <c r="AC62" s="1444">
        <v>294.49997420369778</v>
      </c>
      <c r="AD62" s="1444">
        <v>0</v>
      </c>
      <c r="AE62" s="1445">
        <v>0</v>
      </c>
    </row>
    <row r="63" spans="2:31" x14ac:dyDescent="0.2">
      <c r="B63" s="523">
        <v>2048</v>
      </c>
      <c r="C63" s="1419">
        <v>84617.532525963965</v>
      </c>
      <c r="D63" s="1420">
        <v>793.3933997072611</v>
      </c>
      <c r="E63" s="1420">
        <v>189.14392187738667</v>
      </c>
      <c r="F63" s="1420">
        <v>20591.485775085952</v>
      </c>
      <c r="G63" s="1420">
        <v>17914.624982279245</v>
      </c>
      <c r="H63" s="1421">
        <v>1000000</v>
      </c>
      <c r="I63" s="1358">
        <f t="shared" si="6"/>
        <v>0</v>
      </c>
      <c r="J63" s="524">
        <f t="shared" si="6"/>
        <v>0</v>
      </c>
      <c r="K63" s="524">
        <f t="shared" si="6"/>
        <v>0</v>
      </c>
      <c r="L63" s="524">
        <f t="shared" si="6"/>
        <v>0</v>
      </c>
      <c r="M63" s="1363">
        <f t="shared" si="6"/>
        <v>0</v>
      </c>
      <c r="N63" s="1484">
        <v>7.9078559909468771</v>
      </c>
      <c r="O63" s="1441">
        <v>9.4877786614430857</v>
      </c>
      <c r="P63" s="1441">
        <v>16.22435303234624</v>
      </c>
      <c r="Q63" s="1441">
        <v>38.700156712594591</v>
      </c>
      <c r="R63" s="1441">
        <v>26.520581615446122</v>
      </c>
      <c r="S63" s="1442">
        <v>1</v>
      </c>
      <c r="T63" s="1443">
        <v>1</v>
      </c>
      <c r="U63" s="1444">
        <v>1</v>
      </c>
      <c r="V63" s="1444">
        <v>1</v>
      </c>
      <c r="W63" s="1444">
        <v>1</v>
      </c>
      <c r="X63" s="1444">
        <v>1</v>
      </c>
      <c r="Y63" s="1445">
        <v>1</v>
      </c>
      <c r="Z63" s="1443">
        <v>0</v>
      </c>
      <c r="AA63" s="1444">
        <v>0</v>
      </c>
      <c r="AB63" s="1444">
        <v>0</v>
      </c>
      <c r="AC63" s="1444">
        <v>295.02724580250566</v>
      </c>
      <c r="AD63" s="1444">
        <v>0</v>
      </c>
      <c r="AE63" s="1445">
        <v>0</v>
      </c>
    </row>
    <row r="64" spans="2:31" x14ac:dyDescent="0.2">
      <c r="B64" s="523">
        <v>2049</v>
      </c>
      <c r="C64" s="1419">
        <v>84669.900061685781</v>
      </c>
      <c r="D64" s="1420">
        <v>746.50355102261551</v>
      </c>
      <c r="E64" s="1504">
        <v>150</v>
      </c>
      <c r="F64" s="1420">
        <v>17818.922897158511</v>
      </c>
      <c r="G64" s="1420">
        <v>16662.378779980143</v>
      </c>
      <c r="H64" s="1421">
        <v>1000000</v>
      </c>
      <c r="I64" s="1358">
        <f t="shared" si="6"/>
        <v>0</v>
      </c>
      <c r="J64" s="524">
        <f t="shared" si="6"/>
        <v>0</v>
      </c>
      <c r="K64" s="524">
        <f t="shared" si="6"/>
        <v>0</v>
      </c>
      <c r="L64" s="524">
        <f t="shared" si="6"/>
        <v>0</v>
      </c>
      <c r="M64" s="1363">
        <f t="shared" si="6"/>
        <v>0</v>
      </c>
      <c r="N64" s="1484">
        <v>7.9130968993474111</v>
      </c>
      <c r="O64" s="1441">
        <v>9.5408475914044502</v>
      </c>
      <c r="P64" s="1441">
        <v>16.367385972642769</v>
      </c>
      <c r="Q64" s="1441">
        <v>39.034517216155471</v>
      </c>
      <c r="R64" s="1441">
        <v>26.783606720550903</v>
      </c>
      <c r="S64" s="1442">
        <v>1</v>
      </c>
      <c r="T64" s="1443">
        <v>1</v>
      </c>
      <c r="U64" s="1444">
        <v>1</v>
      </c>
      <c r="V64" s="1444">
        <v>1</v>
      </c>
      <c r="W64" s="1444">
        <v>1</v>
      </c>
      <c r="X64" s="1444">
        <v>1</v>
      </c>
      <c r="Y64" s="1445">
        <v>1</v>
      </c>
      <c r="Z64" s="1443">
        <v>0</v>
      </c>
      <c r="AA64" s="1444">
        <v>0</v>
      </c>
      <c r="AB64" s="1444">
        <v>0</v>
      </c>
      <c r="AC64" s="1444">
        <v>295.55451740131355</v>
      </c>
      <c r="AD64" s="1444">
        <v>0</v>
      </c>
      <c r="AE64" s="1445">
        <v>0</v>
      </c>
    </row>
    <row r="65" spans="2:31" ht="13.5" thickBot="1" x14ac:dyDescent="0.25">
      <c r="B65" s="525">
        <v>2050</v>
      </c>
      <c r="C65" s="1422">
        <v>84730.5</v>
      </c>
      <c r="D65" s="1423">
        <v>667.5</v>
      </c>
      <c r="E65" s="1490">
        <v>100</v>
      </c>
      <c r="F65" s="1423">
        <v>13147.5</v>
      </c>
      <c r="G65" s="1423">
        <v>14552.5</v>
      </c>
      <c r="H65" s="1424">
        <v>1000000</v>
      </c>
      <c r="I65" s="1359">
        <f t="shared" si="6"/>
        <v>0</v>
      </c>
      <c r="J65" s="526">
        <f t="shared" si="6"/>
        <v>0</v>
      </c>
      <c r="K65" s="526">
        <f t="shared" si="6"/>
        <v>0</v>
      </c>
      <c r="L65" s="526">
        <f t="shared" si="6"/>
        <v>0</v>
      </c>
      <c r="M65" s="1364">
        <f t="shared" si="6"/>
        <v>0</v>
      </c>
      <c r="N65" s="1485">
        <v>7.919161701164132</v>
      </c>
      <c r="O65" s="1447">
        <v>9.6302621242624156</v>
      </c>
      <c r="P65" s="1447">
        <v>16.608378650453059</v>
      </c>
      <c r="Q65" s="1458">
        <v>39.597872992384907</v>
      </c>
      <c r="R65" s="1458">
        <v>27.226771241109038</v>
      </c>
      <c r="S65" s="1459">
        <v>1</v>
      </c>
      <c r="T65" s="1449">
        <v>1</v>
      </c>
      <c r="U65" s="1450">
        <v>1</v>
      </c>
      <c r="V65" s="1450">
        <v>1</v>
      </c>
      <c r="W65" s="1450">
        <v>1</v>
      </c>
      <c r="X65" s="1450">
        <v>1</v>
      </c>
      <c r="Y65" s="1451">
        <v>1</v>
      </c>
      <c r="Z65" s="1449">
        <v>0</v>
      </c>
      <c r="AA65" s="1450">
        <v>0</v>
      </c>
      <c r="AB65" s="1450">
        <v>0</v>
      </c>
      <c r="AC65" s="1450">
        <v>296.08178900012103</v>
      </c>
      <c r="AD65" s="1450">
        <v>0</v>
      </c>
      <c r="AE65" s="1451">
        <v>0</v>
      </c>
    </row>
    <row r="66" spans="2:31" ht="13.5" thickBot="1" x14ac:dyDescent="0.25">
      <c r="C66" s="497"/>
      <c r="D66" s="497"/>
      <c r="F66" s="497"/>
    </row>
    <row r="67" spans="2:31" ht="13.5" thickBot="1" x14ac:dyDescent="0.25">
      <c r="B67" s="536"/>
      <c r="C67" s="537" t="s">
        <v>202</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75" priority="13">
      <formula>AND($G$8="N/A",$T35&gt;1)</formula>
    </cfRule>
  </conditionalFormatting>
  <conditionalFormatting sqref="V35:V65">
    <cfRule type="expression" dxfId="74" priority="11">
      <formula>AND($G$10="N/A",$V35&gt;1)</formula>
    </cfRule>
  </conditionalFormatting>
  <conditionalFormatting sqref="U35:U65">
    <cfRule type="expression" dxfId="73" priority="12">
      <formula>AND($G$9="N/A",U35&gt;1)</formula>
    </cfRule>
  </conditionalFormatting>
  <conditionalFormatting sqref="W35:W65">
    <cfRule type="expression" dxfId="72" priority="10">
      <formula>AND($G$11="N/A",$W35&gt;1)</formula>
    </cfRule>
  </conditionalFormatting>
  <conditionalFormatting sqref="X35:X65">
    <cfRule type="expression" dxfId="71" priority="9">
      <formula>AND($G$12="N/A",$X35&gt;1)</formula>
    </cfRule>
  </conditionalFormatting>
  <conditionalFormatting sqref="Y35:Y65">
    <cfRule type="expression" dxfId="70" priority="8">
      <formula>AND($G$13="N/A",$Y35&gt;1)</formula>
    </cfRule>
  </conditionalFormatting>
  <conditionalFormatting sqref="Z20:AE20">
    <cfRule type="expression" dxfId="69" priority="7">
      <formula>INDEX($H$8:$H$13,MATCH(Z$20,$B$8:$B$13,0))=TRUE</formula>
    </cfRule>
  </conditionalFormatting>
  <conditionalFormatting sqref="T22:T34">
    <cfRule type="expression" dxfId="68" priority="6">
      <formula>AND($G$8="N/A",$T22&gt;1)</formula>
    </cfRule>
  </conditionalFormatting>
  <conditionalFormatting sqref="V22:V34">
    <cfRule type="expression" dxfId="67" priority="4">
      <formula>AND($G$10="N/A",$V22&gt;1)</formula>
    </cfRule>
  </conditionalFormatting>
  <conditionalFormatting sqref="U22:U34">
    <cfRule type="expression" dxfId="66" priority="5">
      <formula>AND($G$9="N/A",U22&gt;1)</formula>
    </cfRule>
  </conditionalFormatting>
  <conditionalFormatting sqref="W22:W34">
    <cfRule type="expression" dxfId="65" priority="3">
      <formula>AND($G$11="N/A",$W22&gt;1)</formula>
    </cfRule>
  </conditionalFormatting>
  <conditionalFormatting sqref="X22:X34">
    <cfRule type="expression" dxfId="64" priority="2">
      <formula>AND($G$12="N/A",$X22&gt;1)</formula>
    </cfRule>
  </conditionalFormatting>
  <conditionalFormatting sqref="Y22:Y34">
    <cfRule type="expression" dxfId="63" priority="1">
      <formula>AND($G$13="N/A",$Y22&gt;1)</formula>
    </cfRule>
  </conditionalFormatting>
  <dataValidations count="3">
    <dataValidation type="list" allowBlank="1" showInputMessage="1" showErrorMessage="1" sqref="F8:F13" xr:uid="{4264A7DC-F2E0-4880-848E-46562F8888C6}">
      <formula1>Fuels</formula1>
    </dataValidation>
    <dataValidation type="list" allowBlank="1" showInputMessage="1" showErrorMessage="1" sqref="G8:G13" xr:uid="{EDAC29DF-0DED-41D5-9978-7576970DF752}">
      <formula1>Fuels2</formula1>
    </dataValidation>
    <dataValidation type="decimal" allowBlank="1" showInputMessage="1" showErrorMessage="1" error="Input must be a decimal value between 0.0 and 1.0." sqref="K9:K13" xr:uid="{69F34D86-E07A-416B-BD11-F835A4003D64}">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28575</xdr:colOff>
                    <xdr:row>11</xdr:row>
                    <xdr:rowOff>0</xdr:rowOff>
                  </from>
                  <to>
                    <xdr:col>18</xdr:col>
                    <xdr:colOff>381000</xdr:colOff>
                    <xdr:row>13</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zoomScale="90" zoomScaleNormal="90" workbookViewId="0">
      <pane xSplit="1" ySplit="10" topLeftCell="B11" activePane="bottomRight" state="frozen"/>
      <selection activeCell="B5" sqref="B5:H5"/>
      <selection pane="topRight" activeCell="B5" sqref="B5:H5"/>
      <selection pane="bottomLeft" activeCell="B5" sqref="B5:H5"/>
      <selection pane="bottomRight" activeCell="K40" sqref="K40"/>
    </sheetView>
  </sheetViews>
  <sheetFormatPr defaultColWidth="9.140625" defaultRowHeight="12.75" x14ac:dyDescent="0.2"/>
  <cols>
    <col min="1" max="1" width="9.140625" style="3"/>
    <col min="2" max="4" width="9.5703125" style="3" customWidth="1"/>
    <col min="5" max="10" width="9.5703125" style="7" customWidth="1"/>
    <col min="11" max="11" width="8.42578125" style="53" customWidth="1"/>
    <col min="12" max="18" width="8.42578125" style="3" customWidth="1"/>
    <col min="19" max="20" width="9.5703125" style="3" customWidth="1"/>
    <col min="21" max="22" width="9.5703125" customWidth="1"/>
    <col min="23" max="25" width="9.140625" style="3"/>
    <col min="26" max="26" width="9.5703125" style="3" customWidth="1"/>
    <col min="27" max="30" width="9.140625" style="3"/>
    <col min="31" max="32" width="9.140625" style="48"/>
    <col min="33" max="50" width="9.140625" style="3"/>
    <col min="51" max="51" width="9.140625" style="3" customWidth="1"/>
    <col min="52" max="16384" width="9.140625" style="3"/>
  </cols>
  <sheetData>
    <row r="1" spans="1:52" x14ac:dyDescent="0.2">
      <c r="A1" s="55" t="s">
        <v>4</v>
      </c>
      <c r="M1" s="3" t="s">
        <v>398</v>
      </c>
      <c r="P1" s="3" t="s">
        <v>365</v>
      </c>
    </row>
    <row r="2" spans="1:52" x14ac:dyDescent="0.2">
      <c r="A2" s="492" t="s">
        <v>417</v>
      </c>
      <c r="B2" s="493"/>
      <c r="C2" s="493"/>
      <c r="D2" s="493"/>
      <c r="E2" s="1369" t="s">
        <v>418</v>
      </c>
      <c r="F2" s="53"/>
      <c r="G2" s="56" t="s">
        <v>419</v>
      </c>
      <c r="H2" s="56"/>
      <c r="I2" s="56"/>
      <c r="J2" s="56"/>
      <c r="K2" s="226"/>
      <c r="L2" s="57" t="s">
        <v>208</v>
      </c>
      <c r="M2" s="2">
        <v>134200</v>
      </c>
      <c r="N2" s="3" t="s">
        <v>209</v>
      </c>
      <c r="P2" s="3">
        <f>107.932/104.757</f>
        <v>1.0303082371583761</v>
      </c>
      <c r="Q2" s="3" t="s">
        <v>423</v>
      </c>
      <c r="X2" s="10"/>
      <c r="Y2" s="10"/>
      <c r="Z2" s="10"/>
      <c r="AA2" s="10"/>
    </row>
    <row r="3" spans="1:52" x14ac:dyDescent="0.2">
      <c r="A3" s="494" t="s">
        <v>203</v>
      </c>
      <c r="B3" s="493"/>
      <c r="C3" s="495"/>
      <c r="D3" s="493"/>
      <c r="E3" s="226" t="s">
        <v>434</v>
      </c>
      <c r="F3" s="53"/>
      <c r="L3" s="57" t="s">
        <v>317</v>
      </c>
      <c r="M3" s="2">
        <v>138700</v>
      </c>
      <c r="N3" s="3" t="s">
        <v>318</v>
      </c>
      <c r="W3" s="766"/>
      <c r="X3" s="10"/>
      <c r="Y3" s="1377"/>
      <c r="Z3" s="10"/>
      <c r="AA3" s="10"/>
    </row>
    <row r="4" spans="1:52" x14ac:dyDescent="0.2">
      <c r="A4" s="654" t="s">
        <v>448</v>
      </c>
      <c r="B4" s="655"/>
      <c r="C4" s="656"/>
      <c r="D4" s="655"/>
      <c r="E4" s="226" t="s">
        <v>449</v>
      </c>
      <c r="F4" s="53"/>
      <c r="L4" s="57" t="s">
        <v>430</v>
      </c>
      <c r="M4" s="2">
        <v>120726</v>
      </c>
      <c r="N4" s="3" t="s">
        <v>318</v>
      </c>
      <c r="O4" s="3" t="s">
        <v>431</v>
      </c>
      <c r="W4" s="766"/>
    </row>
    <row r="5" spans="1:52" ht="15.75" x14ac:dyDescent="0.25">
      <c r="A5" s="58"/>
      <c r="B5" s="48"/>
      <c r="C5" s="59"/>
      <c r="D5" s="48"/>
      <c r="E5" s="53"/>
      <c r="F5" s="53"/>
      <c r="G5" s="1261"/>
      <c r="L5" s="612"/>
      <c r="X5" s="1376" t="s">
        <v>326</v>
      </c>
    </row>
    <row r="6" spans="1:52" ht="16.5" thickBot="1" x14ac:dyDescent="0.3">
      <c r="D6" s="48"/>
      <c r="E6" s="48"/>
      <c r="F6" s="3"/>
      <c r="G6" s="1261"/>
      <c r="H6" s="3"/>
      <c r="I6" s="3"/>
      <c r="J6" s="3"/>
      <c r="K6" s="3"/>
      <c r="U6" s="496" t="s">
        <v>446</v>
      </c>
      <c r="X6" s="1373">
        <f>2.24/2.86</f>
        <v>0.78321678321678334</v>
      </c>
      <c r="Y6" s="1373">
        <f>2.34/2.2</f>
        <v>1.0636363636363635</v>
      </c>
      <c r="Z6" s="1373">
        <f>AVERAGE(2.54/2.77,2.54/2.64,2.65/2.56,2.43/2.57,3.11/3.42)</f>
        <v>0.95382539762429508</v>
      </c>
      <c r="AA6" s="1378">
        <v>1</v>
      </c>
      <c r="AB6" s="1373">
        <f>AVERAGE(3.14/3.15,3.13/3.14,2.68/2.93,2.65/2.91)</f>
        <v>0.95474234308247208</v>
      </c>
      <c r="AC6" s="1378">
        <v>1</v>
      </c>
      <c r="AD6" s="1373">
        <f>1.93/2.23</f>
        <v>0.86547085201793716</v>
      </c>
      <c r="AE6" s="1378">
        <v>1</v>
      </c>
      <c r="AF6" s="7"/>
      <c r="AG6" s="53"/>
      <c r="AH6" s="612"/>
      <c r="AU6" s="3" t="s">
        <v>424</v>
      </c>
    </row>
    <row r="7" spans="1:52" ht="16.5" customHeight="1" thickBot="1" x14ac:dyDescent="0.3">
      <c r="A7" s="1525" t="s">
        <v>282</v>
      </c>
      <c r="B7" s="1526"/>
      <c r="C7" s="1526"/>
      <c r="D7" s="1526"/>
      <c r="E7" s="1526"/>
      <c r="F7" s="1526"/>
      <c r="G7" s="1526"/>
      <c r="H7" s="1526"/>
      <c r="I7" s="1526"/>
      <c r="J7" s="1526"/>
      <c r="K7" s="1526"/>
      <c r="L7" s="1526"/>
      <c r="M7" s="1526"/>
      <c r="N7" s="1526"/>
      <c r="O7" s="1526"/>
      <c r="P7" s="1526"/>
      <c r="Q7" s="1526"/>
      <c r="R7" s="1526"/>
      <c r="S7" s="1526"/>
      <c r="T7" s="1526"/>
      <c r="U7" s="1379" t="b">
        <v>1</v>
      </c>
      <c r="W7" s="1525" t="s">
        <v>281</v>
      </c>
      <c r="X7" s="1526"/>
      <c r="Y7" s="1526"/>
      <c r="Z7" s="1526"/>
      <c r="AA7" s="1526"/>
      <c r="AB7" s="1526"/>
      <c r="AC7" s="1526"/>
      <c r="AD7" s="1526"/>
      <c r="AE7" s="1526"/>
      <c r="AF7" s="1526"/>
      <c r="AG7" s="1526"/>
      <c r="AH7" s="1526"/>
      <c r="AI7" s="1526"/>
      <c r="AJ7" s="1526"/>
      <c r="AK7" s="1526"/>
      <c r="AL7" s="1526"/>
      <c r="AM7" s="1526"/>
      <c r="AN7" s="1526"/>
      <c r="AO7" s="1526"/>
      <c r="AP7" s="1527"/>
      <c r="AQ7" s="969"/>
      <c r="AU7" s="3" t="s">
        <v>426</v>
      </c>
    </row>
    <row r="8" spans="1:52" ht="12.75" customHeight="1" x14ac:dyDescent="0.2">
      <c r="A8" s="557"/>
      <c r="B8" s="1528" t="s">
        <v>420</v>
      </c>
      <c r="C8" s="1528"/>
      <c r="D8" s="1528"/>
      <c r="E8" s="1528"/>
      <c r="F8" s="1528"/>
      <c r="G8" s="1528"/>
      <c r="H8" s="1528"/>
      <c r="I8" s="1528"/>
      <c r="J8" s="952"/>
      <c r="K8" s="952"/>
      <c r="L8" s="1529" t="s">
        <v>421</v>
      </c>
      <c r="M8" s="1529"/>
      <c r="N8" s="1529"/>
      <c r="O8" s="1529"/>
      <c r="P8" s="1529"/>
      <c r="Q8" s="1529"/>
      <c r="R8" s="1529"/>
      <c r="S8" s="1529"/>
      <c r="T8" s="558"/>
      <c r="U8" s="496"/>
      <c r="W8" s="959"/>
      <c r="X8" s="1529" t="s">
        <v>422</v>
      </c>
      <c r="Y8" s="1529"/>
      <c r="Z8" s="1529"/>
      <c r="AA8" s="1529"/>
      <c r="AB8" s="1529"/>
      <c r="AC8" s="1529"/>
      <c r="AD8" s="1529"/>
      <c r="AE8" s="1529"/>
      <c r="AF8" s="1367"/>
      <c r="AG8" s="1367"/>
      <c r="AH8" s="1529" t="s">
        <v>421</v>
      </c>
      <c r="AI8" s="1529"/>
      <c r="AJ8" s="1529"/>
      <c r="AK8" s="1529"/>
      <c r="AL8" s="1529"/>
      <c r="AM8" s="1529"/>
      <c r="AN8" s="1529"/>
      <c r="AO8" s="1529"/>
      <c r="AP8" s="960"/>
      <c r="AQ8" s="970"/>
      <c r="AU8" s="3" t="s">
        <v>427</v>
      </c>
      <c r="AW8" s="3" t="s">
        <v>428</v>
      </c>
      <c r="AY8" s="3" t="s">
        <v>429</v>
      </c>
    </row>
    <row r="9" spans="1:52" ht="12.75" hidden="1" customHeight="1" x14ac:dyDescent="0.2">
      <c r="A9" s="559"/>
      <c r="B9" s="1530"/>
      <c r="C9" s="1530"/>
      <c r="D9" s="1530"/>
      <c r="E9" s="1530"/>
      <c r="F9" s="1530"/>
      <c r="G9" s="1530"/>
      <c r="H9" s="1530"/>
      <c r="I9" s="1530"/>
      <c r="J9" s="953"/>
      <c r="K9" s="953"/>
      <c r="L9" s="1531"/>
      <c r="M9" s="1531"/>
      <c r="N9" s="1531"/>
      <c r="O9" s="1531"/>
      <c r="P9" s="1531"/>
      <c r="Q9" s="1531"/>
      <c r="R9" s="1531"/>
      <c r="S9" s="1531"/>
      <c r="T9" s="560"/>
      <c r="U9" s="496"/>
      <c r="W9" s="559"/>
      <c r="X9" s="1530"/>
      <c r="Y9" s="1530"/>
      <c r="Z9" s="1530"/>
      <c r="AA9" s="1530"/>
      <c r="AB9" s="1530"/>
      <c r="AC9" s="1530"/>
      <c r="AD9" s="1530"/>
      <c r="AE9" s="1530"/>
      <c r="AF9" s="1368"/>
      <c r="AG9" s="1368"/>
      <c r="AH9" s="1531"/>
      <c r="AI9" s="1531"/>
      <c r="AJ9" s="1531"/>
      <c r="AK9" s="1531"/>
      <c r="AL9" s="1531"/>
      <c r="AM9" s="1531"/>
      <c r="AN9" s="1531"/>
      <c r="AO9" s="1531"/>
      <c r="AP9" s="560"/>
      <c r="AQ9" s="970"/>
    </row>
    <row r="10" spans="1:52" ht="26.25" thickBot="1" x14ac:dyDescent="0.25">
      <c r="A10" s="561" t="s">
        <v>3</v>
      </c>
      <c r="B10" s="562" t="s">
        <v>2</v>
      </c>
      <c r="C10" s="563" t="s">
        <v>50</v>
      </c>
      <c r="D10" s="563" t="s">
        <v>0</v>
      </c>
      <c r="E10" s="563" t="s">
        <v>51</v>
      </c>
      <c r="F10" s="563" t="s">
        <v>5</v>
      </c>
      <c r="G10" s="563" t="s">
        <v>52</v>
      </c>
      <c r="H10" s="563" t="s">
        <v>1</v>
      </c>
      <c r="I10" s="563" t="s">
        <v>6</v>
      </c>
      <c r="J10" s="563" t="s">
        <v>207</v>
      </c>
      <c r="K10" s="565" t="str">
        <f>A10</f>
        <v>Year</v>
      </c>
      <c r="L10" s="566" t="s">
        <v>2</v>
      </c>
      <c r="M10" s="566" t="s">
        <v>50</v>
      </c>
      <c r="N10" s="566" t="s">
        <v>0</v>
      </c>
      <c r="O10" s="566" t="s">
        <v>51</v>
      </c>
      <c r="P10" s="566" t="s">
        <v>5</v>
      </c>
      <c r="Q10" s="566" t="s">
        <v>52</v>
      </c>
      <c r="R10" s="566" t="s">
        <v>1</v>
      </c>
      <c r="S10" s="566" t="s">
        <v>6</v>
      </c>
      <c r="T10" s="567" t="s">
        <v>207</v>
      </c>
      <c r="U10" s="1496" t="s">
        <v>416</v>
      </c>
      <c r="W10" s="561" t="s">
        <v>3</v>
      </c>
      <c r="X10" s="562" t="s">
        <v>2</v>
      </c>
      <c r="Y10" s="563" t="s">
        <v>50</v>
      </c>
      <c r="Z10" s="563" t="s">
        <v>0</v>
      </c>
      <c r="AA10" s="563" t="s">
        <v>51</v>
      </c>
      <c r="AB10" s="563" t="s">
        <v>5</v>
      </c>
      <c r="AC10" s="563" t="s">
        <v>52</v>
      </c>
      <c r="AD10" s="563" t="s">
        <v>1</v>
      </c>
      <c r="AE10" s="563" t="s">
        <v>6</v>
      </c>
      <c r="AF10" s="563" t="s">
        <v>207</v>
      </c>
      <c r="AG10" s="565" t="str">
        <f>W10</f>
        <v>Year</v>
      </c>
      <c r="AH10" s="566" t="s">
        <v>2</v>
      </c>
      <c r="AI10" s="566" t="s">
        <v>50</v>
      </c>
      <c r="AJ10" s="566" t="s">
        <v>0</v>
      </c>
      <c r="AK10" s="566" t="s">
        <v>51</v>
      </c>
      <c r="AL10" s="566" t="s">
        <v>5</v>
      </c>
      <c r="AM10" s="566" t="s">
        <v>52</v>
      </c>
      <c r="AN10" s="566" t="s">
        <v>1</v>
      </c>
      <c r="AO10" s="566" t="s">
        <v>6</v>
      </c>
      <c r="AP10" s="567" t="s">
        <v>207</v>
      </c>
      <c r="AQ10" s="970"/>
      <c r="AR10" s="3" t="s">
        <v>451</v>
      </c>
      <c r="AT10" s="1371" t="s">
        <v>425</v>
      </c>
      <c r="AU10" s="3" t="s">
        <v>0</v>
      </c>
      <c r="AV10" s="3" t="s">
        <v>5</v>
      </c>
      <c r="AW10" s="3" t="s">
        <v>0</v>
      </c>
      <c r="AX10" s="3" t="s">
        <v>5</v>
      </c>
      <c r="AY10" s="3" t="s">
        <v>0</v>
      </c>
      <c r="AZ10" s="3" t="s">
        <v>5</v>
      </c>
    </row>
    <row r="11" spans="1:52" ht="13.5" thickBot="1" x14ac:dyDescent="0.25">
      <c r="A11" s="961">
        <v>2007</v>
      </c>
      <c r="B11" s="1372">
        <v>23.831382999999999</v>
      </c>
      <c r="C11" s="1372">
        <v>27.431152000000001</v>
      </c>
      <c r="D11" s="962">
        <f>AY11</f>
        <v>19.139039844907355</v>
      </c>
      <c r="E11" s="1372">
        <v>15.767529</v>
      </c>
      <c r="F11" s="962">
        <f>AZ11</f>
        <v>16.870047225373874</v>
      </c>
      <c r="G11" s="1372">
        <v>9.1869709999999998</v>
      </c>
      <c r="H11" s="1372">
        <v>13.840966</v>
      </c>
      <c r="I11" s="1372">
        <v>32.004199999999997</v>
      </c>
      <c r="J11" s="1310">
        <f t="shared" ref="J11:J54" si="0">K62/$M$2*10^6</f>
        <v>89.418777943368113</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54" si="9">IF($U$7,U11,1)*I11*HVDiesel/10^6</f>
        <v>8.877965080000001</v>
      </c>
      <c r="T11" s="548">
        <f t="shared" ref="T11:T54" si="10">J11*HVDiesel/10^6</f>
        <v>12.402384500745157</v>
      </c>
      <c r="U11" s="1374">
        <f t="shared" ref="U11:U23" si="11">U12</f>
        <v>2</v>
      </c>
      <c r="W11" s="556">
        <v>2007</v>
      </c>
      <c r="X11" s="568">
        <f t="shared" ref="X11:X58" si="12">$X$6*B11</f>
        <v>18.665139132867136</v>
      </c>
      <c r="Y11" s="568">
        <f t="shared" ref="Y11:Y58" si="13">$Y$6*C11</f>
        <v>29.176770763636359</v>
      </c>
      <c r="Z11" s="568">
        <f t="shared" ref="Z11:Z58" si="14">$Z$6*D11</f>
        <v>18.255302290215983</v>
      </c>
      <c r="AA11" s="568">
        <f>$AA$6*E11</f>
        <v>15.767529</v>
      </c>
      <c r="AB11" s="568">
        <f t="shared" ref="AB11:AB58" si="15">$AB$6*F11</f>
        <v>16.106548415865408</v>
      </c>
      <c r="AC11" s="568">
        <f>$AC$6*G11</f>
        <v>9.1869709999999998</v>
      </c>
      <c r="AD11" s="568">
        <f t="shared" ref="AD11:AD54" si="16">$AD$6*H11</f>
        <v>11.9789526367713</v>
      </c>
      <c r="AE11" s="568">
        <f>$AE$6*I11</f>
        <v>32.004199999999997</v>
      </c>
      <c r="AF11" s="652">
        <f t="shared" ref="AF11:AF54" si="17">AG62/$M$2*10^6</f>
        <v>89.418777943368113</v>
      </c>
      <c r="AG11" s="546">
        <f t="shared" ref="AG11:AG15" si="18">W11</f>
        <v>2007</v>
      </c>
      <c r="AH11" s="547">
        <f t="shared" ref="AH11:AH54" si="19">X11*HVDiesel/10^6</f>
        <v>2.5888547977286716</v>
      </c>
      <c r="AI11" s="547">
        <f t="shared" ref="AI11:AI54" si="20">Y11*HVDiesel/10^6</f>
        <v>4.0468181049163627</v>
      </c>
      <c r="AJ11" s="547">
        <f t="shared" ref="AJ11:AJ54" si="21">Z11*HVDiesel/10^6</f>
        <v>2.5320104276529567</v>
      </c>
      <c r="AK11" s="547">
        <f t="shared" ref="AK11:AK54" si="22">AA11*HVDiesel/10^6</f>
        <v>2.1869562722999998</v>
      </c>
      <c r="AL11" s="547">
        <f t="shared" ref="AL11:AL54" si="23">AB11*HVDiesel/10^6</f>
        <v>2.2339782652805322</v>
      </c>
      <c r="AM11" s="547">
        <f t="shared" ref="AM11:AM54" si="24">AC11*HVDiesel/10^6</f>
        <v>1.2742328777</v>
      </c>
      <c r="AN11" s="547">
        <f t="shared" ref="AN11:AN54" si="25">AD11*HVDiesel/10^6</f>
        <v>1.6614807307201793</v>
      </c>
      <c r="AO11" s="547">
        <f t="shared" ref="AO11:AO54" si="26">IF($U$7,U11,1)*AE11*HVDiesel/10^6</f>
        <v>8.877965080000001</v>
      </c>
      <c r="AP11" s="548">
        <f t="shared" ref="AP11:AP54" si="27">AF11*HVDiesel/10^6</f>
        <v>12.402384500745157</v>
      </c>
      <c r="AQ11" s="10"/>
      <c r="AR11" s="1" t="s">
        <v>210</v>
      </c>
      <c r="AT11" s="3">
        <v>5.3440000000000003</v>
      </c>
      <c r="AU11" s="3">
        <v>2.8488790800000006</v>
      </c>
      <c r="AV11" s="3">
        <v>2.8849999999999998</v>
      </c>
      <c r="AW11" s="3">
        <f t="shared" ref="AW11:AW23" si="28">AU11*(HVDiesel/HVGasoline)*$AT11/$AT$23</f>
        <v>2.6545848264886494</v>
      </c>
      <c r="AX11" s="3">
        <f>AV11*$AT11/$AT$23</f>
        <v>2.3398755501593564</v>
      </c>
      <c r="AY11" s="3">
        <f t="shared" ref="AY11:AY23" si="29">(AU11/HVGasoline)*($AT11/$AT$23)*10^6</f>
        <v>19.139039844907355</v>
      </c>
      <c r="AZ11" s="3">
        <f t="shared" ref="AZ11:AZ23" si="30">(AV11/HVDiesel)*($AT11/$AT$23)*10^6</f>
        <v>16.870047225373874</v>
      </c>
    </row>
    <row r="12" spans="1:52" ht="13.5" thickTop="1" x14ac:dyDescent="0.2">
      <c r="A12" s="487">
        <v>2008</v>
      </c>
      <c r="B12" s="1350">
        <v>28.925077000000002</v>
      </c>
      <c r="C12" s="1350">
        <v>33.544201000000001</v>
      </c>
      <c r="D12" s="569">
        <f t="shared" ref="D12:D22" si="31">AY12</f>
        <v>23.14446391167051</v>
      </c>
      <c r="E12" s="1350">
        <v>24.678422999999999</v>
      </c>
      <c r="F12" s="569">
        <f t="shared" ref="F12:F22" si="32">AZ12</f>
        <v>23.0911244330991</v>
      </c>
      <c r="G12" s="1350">
        <v>15.781518</v>
      </c>
      <c r="H12" s="1350">
        <v>20.719681000000001</v>
      </c>
      <c r="I12" s="1350">
        <v>41.567065999999997</v>
      </c>
      <c r="J12" s="1311">
        <f t="shared" si="0"/>
        <v>89.418777943368113</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11.530704108399998</v>
      </c>
      <c r="T12" s="550">
        <f t="shared" si="10"/>
        <v>12.402384500745157</v>
      </c>
      <c r="U12" s="1374">
        <f t="shared" si="11"/>
        <v>2</v>
      </c>
      <c r="W12" s="487">
        <v>2008</v>
      </c>
      <c r="X12" s="569">
        <f t="shared" si="12"/>
        <v>22.654605762237768</v>
      </c>
      <c r="Y12" s="569">
        <f t="shared" si="13"/>
        <v>35.678831972727266</v>
      </c>
      <c r="Z12" s="569">
        <f t="shared" si="14"/>
        <v>22.075777493350273</v>
      </c>
      <c r="AA12" s="569">
        <f t="shared" ref="AA12:AA54" si="33">$AA$6*E12</f>
        <v>24.678422999999999</v>
      </c>
      <c r="AB12" s="569">
        <f t="shared" si="15"/>
        <v>22.046074245665956</v>
      </c>
      <c r="AC12" s="569">
        <f t="shared" ref="AC12:AC54" si="34">$AC$6*G12</f>
        <v>15.781518</v>
      </c>
      <c r="AD12" s="569">
        <f t="shared" si="16"/>
        <v>17.932279968609866</v>
      </c>
      <c r="AE12" s="569">
        <f t="shared" ref="AE12:AE54" si="35">$AE$6*I12</f>
        <v>41.567065999999997</v>
      </c>
      <c r="AF12" s="652">
        <f t="shared" si="17"/>
        <v>89.418777943368113</v>
      </c>
      <c r="AG12" s="549">
        <f t="shared" si="18"/>
        <v>2008</v>
      </c>
      <c r="AH12" s="544">
        <f t="shared" si="19"/>
        <v>3.1421938192223786</v>
      </c>
      <c r="AI12" s="544">
        <f t="shared" si="20"/>
        <v>4.9486539946172723</v>
      </c>
      <c r="AJ12" s="544">
        <f t="shared" si="21"/>
        <v>3.0619103383276829</v>
      </c>
      <c r="AK12" s="544">
        <f t="shared" si="22"/>
        <v>3.4228972701</v>
      </c>
      <c r="AL12" s="544">
        <f t="shared" si="23"/>
        <v>3.0577904978738677</v>
      </c>
      <c r="AM12" s="544">
        <f t="shared" si="24"/>
        <v>2.1888965466000001</v>
      </c>
      <c r="AN12" s="544">
        <f t="shared" si="25"/>
        <v>2.4872072316461886</v>
      </c>
      <c r="AO12" s="544">
        <f t="shared" si="26"/>
        <v>11.530704108399998</v>
      </c>
      <c r="AP12" s="550">
        <f t="shared" si="27"/>
        <v>12.402384500745157</v>
      </c>
      <c r="AQ12" s="10"/>
      <c r="AR12" s="966" t="str">
        <f t="array" ref="AR12:AR20">TRANSPOSE(AH10:AP10)</f>
        <v>LPG</v>
      </c>
      <c r="AT12" s="3">
        <v>5.5490000000000004</v>
      </c>
      <c r="AU12" s="3">
        <v>3.31781923</v>
      </c>
      <c r="AV12" s="3">
        <v>3.8029999999999999</v>
      </c>
      <c r="AW12" s="3">
        <f t="shared" si="28"/>
        <v>3.2101371445486993</v>
      </c>
      <c r="AX12" s="3">
        <f t="shared" ref="AX12:AX23" si="36">AV12*$AT12/$AT$23</f>
        <v>3.202738958870845</v>
      </c>
      <c r="AY12" s="3">
        <f t="shared" si="29"/>
        <v>23.14446391167051</v>
      </c>
      <c r="AZ12" s="3">
        <f t="shared" si="30"/>
        <v>23.0911244330991</v>
      </c>
    </row>
    <row r="13" spans="1:52" x14ac:dyDescent="0.2">
      <c r="A13" s="487">
        <v>2009</v>
      </c>
      <c r="B13" s="1350">
        <v>27.142980999999999</v>
      </c>
      <c r="C13" s="1350">
        <v>22.027393</v>
      </c>
      <c r="D13" s="569">
        <f t="shared" si="31"/>
        <v>16.686242881839721</v>
      </c>
      <c r="E13" s="1350">
        <v>13.673363</v>
      </c>
      <c r="F13" s="569">
        <f t="shared" si="32"/>
        <v>14.925186643575737</v>
      </c>
      <c r="G13" s="1350">
        <v>11.342912999999999</v>
      </c>
      <c r="H13" s="1350">
        <v>16.473005000000001</v>
      </c>
      <c r="I13" s="1350">
        <v>62.290424000000002</v>
      </c>
      <c r="J13" s="1311">
        <f t="shared" si="0"/>
        <v>89.418777943368113</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17.279363617600001</v>
      </c>
      <c r="T13" s="550">
        <f t="shared" si="10"/>
        <v>12.402384500745157</v>
      </c>
      <c r="U13" s="1374">
        <f t="shared" si="11"/>
        <v>2</v>
      </c>
      <c r="W13" s="487">
        <v>2009</v>
      </c>
      <c r="X13" s="569">
        <f t="shared" si="12"/>
        <v>21.258838265734269</v>
      </c>
      <c r="Y13" s="569">
        <f t="shared" si="13"/>
        <v>23.429136190909087</v>
      </c>
      <c r="Z13" s="569">
        <f t="shared" si="14"/>
        <v>15.915762251626335</v>
      </c>
      <c r="AA13" s="569">
        <f t="shared" si="33"/>
        <v>13.673363</v>
      </c>
      <c r="AB13" s="569">
        <f t="shared" si="15"/>
        <v>14.249707667030716</v>
      </c>
      <c r="AC13" s="569">
        <f t="shared" si="34"/>
        <v>11.342912999999999</v>
      </c>
      <c r="AD13" s="569">
        <f t="shared" si="16"/>
        <v>14.25690567264574</v>
      </c>
      <c r="AE13" s="569">
        <f t="shared" si="35"/>
        <v>62.290424000000002</v>
      </c>
      <c r="AF13" s="652">
        <f t="shared" si="17"/>
        <v>89.418777943368113</v>
      </c>
      <c r="AG13" s="549">
        <f t="shared" si="18"/>
        <v>2009</v>
      </c>
      <c r="AH13" s="544">
        <f t="shared" si="19"/>
        <v>2.9486008674573432</v>
      </c>
      <c r="AI13" s="544">
        <f t="shared" si="20"/>
        <v>3.2496211896790905</v>
      </c>
      <c r="AJ13" s="544">
        <f t="shared" si="21"/>
        <v>2.2075162243005728</v>
      </c>
      <c r="AK13" s="544">
        <f t="shared" si="22"/>
        <v>1.8964954480999998</v>
      </c>
      <c r="AL13" s="544">
        <f t="shared" si="23"/>
        <v>1.9764344534171603</v>
      </c>
      <c r="AM13" s="544">
        <f t="shared" si="24"/>
        <v>1.5732620330999998</v>
      </c>
      <c r="AN13" s="544">
        <f t="shared" si="25"/>
        <v>1.9774328167959641</v>
      </c>
      <c r="AO13" s="544">
        <f t="shared" si="26"/>
        <v>17.279363617600001</v>
      </c>
      <c r="AP13" s="550">
        <f t="shared" si="27"/>
        <v>12.402384500745157</v>
      </c>
      <c r="AQ13" s="10"/>
      <c r="AR13" s="967" t="str">
        <v>E85</v>
      </c>
      <c r="AT13" s="3">
        <v>5.5289999999999999</v>
      </c>
      <c r="AU13" s="3">
        <v>2.40066903</v>
      </c>
      <c r="AV13" s="3">
        <v>2.4670000000000001</v>
      </c>
      <c r="AW13" s="3">
        <f t="shared" si="28"/>
        <v>2.314381887711169</v>
      </c>
      <c r="AX13" s="3">
        <f t="shared" si="36"/>
        <v>2.0701233874639549</v>
      </c>
      <c r="AY13" s="3">
        <f t="shared" si="29"/>
        <v>16.686242881839721</v>
      </c>
      <c r="AZ13" s="3">
        <f t="shared" si="30"/>
        <v>14.925186643575737</v>
      </c>
    </row>
    <row r="14" spans="1:52" x14ac:dyDescent="0.2">
      <c r="A14" s="488">
        <v>2010</v>
      </c>
      <c r="B14" s="1350">
        <v>26.497553</v>
      </c>
      <c r="C14" s="1350">
        <v>26.790133000000001</v>
      </c>
      <c r="D14" s="569">
        <f t="shared" si="31"/>
        <v>20.042935750421385</v>
      </c>
      <c r="E14" s="1350">
        <v>17.441685</v>
      </c>
      <c r="F14" s="569">
        <f t="shared" si="32"/>
        <v>18.399326924350003</v>
      </c>
      <c r="G14" s="1350">
        <v>11.209270999999999</v>
      </c>
      <c r="H14" s="1350">
        <v>17.178132999999999</v>
      </c>
      <c r="I14" s="1350">
        <v>44.797077000000002</v>
      </c>
      <c r="J14" s="1311">
        <f t="shared" si="0"/>
        <v>89.418777943368113</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12.4267091598</v>
      </c>
      <c r="T14" s="552">
        <f t="shared" si="10"/>
        <v>12.402384500745157</v>
      </c>
      <c r="U14" s="1374">
        <f t="shared" si="11"/>
        <v>2</v>
      </c>
      <c r="W14" s="488">
        <v>2010</v>
      </c>
      <c r="X14" s="569">
        <f t="shared" si="12"/>
        <v>20.753328223776226</v>
      </c>
      <c r="Y14" s="569">
        <f t="shared" si="13"/>
        <v>28.494959645454543</v>
      </c>
      <c r="Z14" s="569">
        <f t="shared" si="14"/>
        <v>19.117461161703876</v>
      </c>
      <c r="AA14" s="569">
        <f t="shared" si="33"/>
        <v>17.441685</v>
      </c>
      <c r="AB14" s="569">
        <f t="shared" si="15"/>
        <v>17.566616498894337</v>
      </c>
      <c r="AC14" s="569">
        <f t="shared" si="34"/>
        <v>11.209270999999999</v>
      </c>
      <c r="AD14" s="569">
        <f t="shared" si="16"/>
        <v>14.867173403587442</v>
      </c>
      <c r="AE14" s="569">
        <f t="shared" si="35"/>
        <v>44.797077000000002</v>
      </c>
      <c r="AF14" s="652">
        <f t="shared" si="17"/>
        <v>89.418777943368113</v>
      </c>
      <c r="AG14" s="551">
        <f t="shared" si="18"/>
        <v>2010</v>
      </c>
      <c r="AH14" s="545">
        <f t="shared" si="19"/>
        <v>2.8784866246377625</v>
      </c>
      <c r="AI14" s="545">
        <f t="shared" si="20"/>
        <v>3.9522509028245452</v>
      </c>
      <c r="AJ14" s="545">
        <f t="shared" si="21"/>
        <v>2.6515918631283277</v>
      </c>
      <c r="AK14" s="545">
        <f t="shared" si="22"/>
        <v>2.4191617095</v>
      </c>
      <c r="AL14" s="545">
        <f t="shared" si="23"/>
        <v>2.4364897083966448</v>
      </c>
      <c r="AM14" s="545">
        <f t="shared" si="24"/>
        <v>1.5547258876999999</v>
      </c>
      <c r="AN14" s="545">
        <f t="shared" si="25"/>
        <v>2.0620769510775783</v>
      </c>
      <c r="AO14" s="545">
        <f t="shared" si="26"/>
        <v>12.4267091598</v>
      </c>
      <c r="AP14" s="552">
        <f t="shared" si="27"/>
        <v>12.402384500745157</v>
      </c>
      <c r="AQ14" s="10"/>
      <c r="AR14" s="967" t="str">
        <v>Gasoline</v>
      </c>
      <c r="AT14" s="3">
        <v>5.62</v>
      </c>
      <c r="AU14" s="3">
        <v>2.8369085599999999</v>
      </c>
      <c r="AV14" s="3">
        <v>2.992</v>
      </c>
      <c r="AW14" s="3">
        <f t="shared" si="28"/>
        <v>2.7799551885834464</v>
      </c>
      <c r="AX14" s="3">
        <f t="shared" si="36"/>
        <v>2.5519866444073456</v>
      </c>
      <c r="AY14" s="3">
        <f t="shared" si="29"/>
        <v>20.042935750421385</v>
      </c>
      <c r="AZ14" s="3">
        <f t="shared" si="30"/>
        <v>18.399326924350003</v>
      </c>
    </row>
    <row r="15" spans="1:52" x14ac:dyDescent="0.2">
      <c r="A15" s="489">
        <v>2011</v>
      </c>
      <c r="B15" s="1350">
        <v>27.153307000000002</v>
      </c>
      <c r="C15" s="1350">
        <v>34.314692999999998</v>
      </c>
      <c r="D15" s="569">
        <f t="shared" si="31"/>
        <v>26.064227985794453</v>
      </c>
      <c r="E15" s="1350">
        <v>23.669519000000001</v>
      </c>
      <c r="F15" s="569">
        <f t="shared" si="32"/>
        <v>24.357827814441997</v>
      </c>
      <c r="G15" s="1350">
        <v>18.559363999999999</v>
      </c>
      <c r="H15" s="1350">
        <v>17.058402999999998</v>
      </c>
      <c r="I15" s="1350">
        <v>35.388840000000002</v>
      </c>
      <c r="J15" s="1311">
        <f t="shared" si="0"/>
        <v>89.418777943368113</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9.8168642160000008</v>
      </c>
      <c r="T15" s="550">
        <f t="shared" si="10"/>
        <v>12.402384500745157</v>
      </c>
      <c r="U15" s="1374">
        <f t="shared" si="11"/>
        <v>2</v>
      </c>
      <c r="W15" s="489">
        <v>2011</v>
      </c>
      <c r="X15" s="569">
        <f t="shared" si="12"/>
        <v>21.266925762237769</v>
      </c>
      <c r="Y15" s="569">
        <f t="shared" si="13"/>
        <v>36.498355281818178</v>
      </c>
      <c r="Z15" s="569">
        <f t="shared" si="14"/>
        <v>24.860722622320672</v>
      </c>
      <c r="AA15" s="569">
        <f t="shared" si="33"/>
        <v>23.669519000000001</v>
      </c>
      <c r="AB15" s="569">
        <f t="shared" si="15"/>
        <v>23.255449599959761</v>
      </c>
      <c r="AC15" s="569">
        <f t="shared" si="34"/>
        <v>18.559363999999999</v>
      </c>
      <c r="AD15" s="569">
        <f t="shared" si="16"/>
        <v>14.763550578475334</v>
      </c>
      <c r="AE15" s="569">
        <f t="shared" si="35"/>
        <v>35.388840000000002</v>
      </c>
      <c r="AF15" s="652">
        <f t="shared" si="17"/>
        <v>89.418777943368113</v>
      </c>
      <c r="AG15" s="549">
        <f t="shared" si="18"/>
        <v>2011</v>
      </c>
      <c r="AH15" s="544">
        <f t="shared" si="19"/>
        <v>2.9497226032223787</v>
      </c>
      <c r="AI15" s="544">
        <f t="shared" si="20"/>
        <v>5.0623218775881806</v>
      </c>
      <c r="AJ15" s="544">
        <f t="shared" si="21"/>
        <v>3.4481822277158773</v>
      </c>
      <c r="AK15" s="544">
        <f t="shared" si="22"/>
        <v>3.2829622853</v>
      </c>
      <c r="AL15" s="544">
        <f t="shared" si="23"/>
        <v>3.2255308595144192</v>
      </c>
      <c r="AM15" s="544">
        <f t="shared" si="24"/>
        <v>2.5741837867999999</v>
      </c>
      <c r="AN15" s="544">
        <f t="shared" si="25"/>
        <v>2.0477044652345286</v>
      </c>
      <c r="AO15" s="544">
        <f t="shared" si="26"/>
        <v>9.8168642160000008</v>
      </c>
      <c r="AP15" s="550">
        <f t="shared" si="27"/>
        <v>12.402384500745157</v>
      </c>
      <c r="AQ15" s="10"/>
      <c r="AR15" s="967" t="str">
        <v>Jet Fuel</v>
      </c>
      <c r="AT15" s="3">
        <v>5.7969999999999997</v>
      </c>
      <c r="AU15" s="3">
        <v>3.5765300999999998</v>
      </c>
      <c r="AV15" s="3">
        <v>3.84</v>
      </c>
      <c r="AW15" s="3">
        <f t="shared" si="28"/>
        <v>3.61510842162969</v>
      </c>
      <c r="AX15" s="3">
        <f t="shared" si="36"/>
        <v>3.3784307178631048</v>
      </c>
      <c r="AY15" s="3">
        <f t="shared" si="29"/>
        <v>26.064227985794453</v>
      </c>
      <c r="AZ15" s="3">
        <f t="shared" si="30"/>
        <v>24.357827814441997</v>
      </c>
    </row>
    <row r="16" spans="1:52" x14ac:dyDescent="0.2">
      <c r="A16" s="963">
        <v>2012</v>
      </c>
      <c r="B16" s="1370">
        <v>26.060852000000001</v>
      </c>
      <c r="C16" s="1370">
        <v>36.734264000000003</v>
      </c>
      <c r="D16" s="570">
        <f t="shared" si="31"/>
        <v>27.478804154101759</v>
      </c>
      <c r="E16" s="1370">
        <v>23.645123000000002</v>
      </c>
      <c r="F16" s="570">
        <f t="shared" si="32"/>
        <v>25.690778463111101</v>
      </c>
      <c r="G16" s="1370">
        <v>20.590979000000001</v>
      </c>
      <c r="H16" s="1370">
        <v>17.207750000000001</v>
      </c>
      <c r="I16" s="1370">
        <v>30.248889999999999</v>
      </c>
      <c r="J16" s="1311">
        <f t="shared" si="0"/>
        <v>89.418777943368113</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8.3910420859999988</v>
      </c>
      <c r="T16" s="550">
        <f t="shared" si="10"/>
        <v>12.402384500745157</v>
      </c>
      <c r="U16" s="1374">
        <f t="shared" si="11"/>
        <v>2</v>
      </c>
      <c r="W16" s="963">
        <v>2012</v>
      </c>
      <c r="X16" s="570">
        <f t="shared" si="12"/>
        <v>20.411296671328675</v>
      </c>
      <c r="Y16" s="570">
        <f t="shared" si="13"/>
        <v>39.07189898181818</v>
      </c>
      <c r="Z16" s="570">
        <f t="shared" si="14"/>
        <v>26.209981298526241</v>
      </c>
      <c r="AA16" s="570">
        <f t="shared" si="33"/>
        <v>23.645123000000002</v>
      </c>
      <c r="AB16" s="570">
        <f t="shared" si="15"/>
        <v>24.528074025483402</v>
      </c>
      <c r="AC16" s="570">
        <f t="shared" si="34"/>
        <v>20.590979000000001</v>
      </c>
      <c r="AD16" s="570">
        <f t="shared" si="16"/>
        <v>14.892806053811659</v>
      </c>
      <c r="AE16" s="570">
        <f t="shared" si="35"/>
        <v>30.248889999999999</v>
      </c>
      <c r="AF16" s="652">
        <f t="shared" si="17"/>
        <v>89.418777943368113</v>
      </c>
      <c r="AG16" s="549">
        <v>2012</v>
      </c>
      <c r="AH16" s="544">
        <f t="shared" si="19"/>
        <v>2.8310468483132873</v>
      </c>
      <c r="AI16" s="544">
        <f t="shared" si="20"/>
        <v>5.4192723887781815</v>
      </c>
      <c r="AJ16" s="544">
        <f t="shared" si="21"/>
        <v>3.6353244061055894</v>
      </c>
      <c r="AK16" s="544">
        <f t="shared" si="22"/>
        <v>3.2795785601000005</v>
      </c>
      <c r="AL16" s="544">
        <f t="shared" si="23"/>
        <v>3.4020438673345481</v>
      </c>
      <c r="AM16" s="544">
        <f t="shared" si="24"/>
        <v>2.8559687873000001</v>
      </c>
      <c r="AN16" s="544">
        <f t="shared" si="25"/>
        <v>2.0656321996636771</v>
      </c>
      <c r="AO16" s="544">
        <f t="shared" si="26"/>
        <v>8.3910420859999988</v>
      </c>
      <c r="AP16" s="550">
        <f t="shared" si="27"/>
        <v>12.402384500745157</v>
      </c>
      <c r="AQ16" s="10"/>
      <c r="AR16" s="967" t="str">
        <v>Diesel</v>
      </c>
      <c r="AT16" s="3">
        <v>5.9169999999999998</v>
      </c>
      <c r="AU16" s="3">
        <v>3.6941674600000001</v>
      </c>
      <c r="AV16" s="3">
        <v>3.968</v>
      </c>
      <c r="AW16" s="3">
        <f t="shared" si="28"/>
        <v>3.8113101361739137</v>
      </c>
      <c r="AX16" s="3">
        <f t="shared" si="36"/>
        <v>3.5633109728335102</v>
      </c>
      <c r="AY16" s="3">
        <f t="shared" si="29"/>
        <v>27.478804154101759</v>
      </c>
      <c r="AZ16" s="3">
        <f t="shared" si="30"/>
        <v>25.690778463111101</v>
      </c>
    </row>
    <row r="17" spans="1:52" x14ac:dyDescent="0.2">
      <c r="A17" s="963">
        <v>2013</v>
      </c>
      <c r="B17" s="1370">
        <v>25.294118999999998</v>
      </c>
      <c r="C17" s="1370">
        <v>33.997013000000003</v>
      </c>
      <c r="D17" s="570">
        <f t="shared" si="31"/>
        <v>27.042850352976672</v>
      </c>
      <c r="E17" s="1370">
        <v>22.417128000000002</v>
      </c>
      <c r="F17" s="570">
        <f t="shared" si="32"/>
        <v>25.766314550818404</v>
      </c>
      <c r="G17" s="1370">
        <v>19.805682999999998</v>
      </c>
      <c r="H17" s="1370">
        <v>18.155642</v>
      </c>
      <c r="I17" s="1370">
        <v>31.006128</v>
      </c>
      <c r="J17" s="1311">
        <f t="shared" si="0"/>
        <v>89.418777943368113</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8.6010999072000001</v>
      </c>
      <c r="T17" s="550">
        <f t="shared" si="10"/>
        <v>12.402384500745157</v>
      </c>
      <c r="U17" s="1374">
        <f t="shared" si="11"/>
        <v>2</v>
      </c>
      <c r="W17" s="963">
        <v>2013</v>
      </c>
      <c r="X17" s="570">
        <f t="shared" si="12"/>
        <v>19.810778517482518</v>
      </c>
      <c r="Y17" s="570">
        <f t="shared" si="13"/>
        <v>36.160459281818177</v>
      </c>
      <c r="Z17" s="570">
        <f t="shared" si="14"/>
        <v>25.794157490822283</v>
      </c>
      <c r="AA17" s="570">
        <f t="shared" si="33"/>
        <v>22.417128000000002</v>
      </c>
      <c r="AB17" s="570">
        <f t="shared" si="15"/>
        <v>24.600191526848356</v>
      </c>
      <c r="AC17" s="570">
        <f t="shared" si="34"/>
        <v>19.805682999999998</v>
      </c>
      <c r="AD17" s="570">
        <f t="shared" si="16"/>
        <v>15.713178950672646</v>
      </c>
      <c r="AE17" s="570">
        <f t="shared" si="35"/>
        <v>31.006128</v>
      </c>
      <c r="AF17" s="652">
        <f t="shared" si="17"/>
        <v>89.418777943368113</v>
      </c>
      <c r="AG17" s="549">
        <v>2013</v>
      </c>
      <c r="AH17" s="544">
        <f t="shared" si="19"/>
        <v>2.7477549803748254</v>
      </c>
      <c r="AI17" s="544">
        <f t="shared" si="20"/>
        <v>5.0154557023881816</v>
      </c>
      <c r="AJ17" s="544">
        <f t="shared" si="21"/>
        <v>3.5776496439770509</v>
      </c>
      <c r="AK17" s="544">
        <f t="shared" si="22"/>
        <v>3.1092556536000004</v>
      </c>
      <c r="AL17" s="544">
        <f t="shared" si="23"/>
        <v>3.4120465647738669</v>
      </c>
      <c r="AM17" s="544">
        <f t="shared" si="24"/>
        <v>2.7470482320999996</v>
      </c>
      <c r="AN17" s="544">
        <f t="shared" si="25"/>
        <v>2.1794179204582957</v>
      </c>
      <c r="AO17" s="544">
        <f t="shared" si="26"/>
        <v>8.6010999072000001</v>
      </c>
      <c r="AP17" s="550">
        <f t="shared" si="27"/>
        <v>12.402384500745157</v>
      </c>
      <c r="AQ17" s="10"/>
      <c r="AR17" s="967" t="str">
        <v>Residual Fuel Oil</v>
      </c>
      <c r="AT17" s="3">
        <v>6.0039999999999996</v>
      </c>
      <c r="AU17" s="3">
        <v>3.58287866</v>
      </c>
      <c r="AV17" s="3">
        <v>3.9220000000000002</v>
      </c>
      <c r="AW17" s="3">
        <f t="shared" si="28"/>
        <v>3.7508433439578632</v>
      </c>
      <c r="AX17" s="3">
        <f t="shared" si="36"/>
        <v>3.5737878281985127</v>
      </c>
      <c r="AY17" s="3">
        <f t="shared" si="29"/>
        <v>27.042850352976672</v>
      </c>
      <c r="AZ17" s="3">
        <f t="shared" si="30"/>
        <v>25.766314550818404</v>
      </c>
    </row>
    <row r="18" spans="1:52" x14ac:dyDescent="0.2">
      <c r="A18" s="963">
        <v>2014</v>
      </c>
      <c r="B18" s="1370">
        <v>24.395772999999998</v>
      </c>
      <c r="C18" s="1370">
        <v>33.250518999999997</v>
      </c>
      <c r="D18" s="570">
        <f t="shared" si="31"/>
        <v>26.273234518958141</v>
      </c>
      <c r="E18" s="1370">
        <v>20.819944</v>
      </c>
      <c r="F18" s="570">
        <f t="shared" si="32"/>
        <v>25.535037257590947</v>
      </c>
      <c r="G18" s="1370">
        <v>14.62518</v>
      </c>
      <c r="H18" s="1370">
        <v>18.43741</v>
      </c>
      <c r="I18" s="1370">
        <v>32.181133000000003</v>
      </c>
      <c r="J18" s="1311">
        <f t="shared" si="0"/>
        <v>89.418777943368113</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8.927046294200002</v>
      </c>
      <c r="T18" s="550">
        <f t="shared" si="10"/>
        <v>12.402384500745157</v>
      </c>
      <c r="U18" s="1374">
        <f t="shared" si="11"/>
        <v>2</v>
      </c>
      <c r="W18" s="963">
        <v>2014</v>
      </c>
      <c r="X18" s="570">
        <f t="shared" si="12"/>
        <v>19.107178853146856</v>
      </c>
      <c r="Y18" s="570">
        <f t="shared" si="13"/>
        <v>35.36646111818181</v>
      </c>
      <c r="Z18" s="570">
        <f t="shared" si="14"/>
        <v>25.060078361921605</v>
      </c>
      <c r="AA18" s="570">
        <f t="shared" si="33"/>
        <v>20.819944</v>
      </c>
      <c r="AB18" s="570">
        <f t="shared" si="15"/>
        <v>24.379381302010604</v>
      </c>
      <c r="AC18" s="570">
        <f t="shared" si="34"/>
        <v>14.62518</v>
      </c>
      <c r="AD18" s="570">
        <f t="shared" si="16"/>
        <v>15.957040941704035</v>
      </c>
      <c r="AE18" s="570">
        <f t="shared" si="35"/>
        <v>32.181133000000003</v>
      </c>
      <c r="AF18" s="652">
        <f t="shared" si="17"/>
        <v>89.418777943368113</v>
      </c>
      <c r="AG18" s="549">
        <v>2014</v>
      </c>
      <c r="AH18" s="544">
        <f t="shared" si="19"/>
        <v>2.6501657069314692</v>
      </c>
      <c r="AI18" s="544">
        <f t="shared" si="20"/>
        <v>4.9053281570918168</v>
      </c>
      <c r="AJ18" s="544">
        <f t="shared" si="21"/>
        <v>3.4758328687985265</v>
      </c>
      <c r="AK18" s="544">
        <f t="shared" si="22"/>
        <v>2.8877262328</v>
      </c>
      <c r="AL18" s="544">
        <f t="shared" si="23"/>
        <v>3.3814201865888709</v>
      </c>
      <c r="AM18" s="544">
        <f t="shared" si="24"/>
        <v>2.028512466</v>
      </c>
      <c r="AN18" s="544">
        <f t="shared" si="25"/>
        <v>2.2132415786143493</v>
      </c>
      <c r="AO18" s="544">
        <f t="shared" si="26"/>
        <v>8.927046294200002</v>
      </c>
      <c r="AP18" s="550">
        <f t="shared" si="27"/>
        <v>12.402384500745157</v>
      </c>
      <c r="AQ18" s="10"/>
      <c r="AR18" s="967" t="str">
        <v>CNG</v>
      </c>
      <c r="AT18" s="3">
        <v>6.101</v>
      </c>
      <c r="AU18" s="3">
        <v>3.4255699199999996</v>
      </c>
      <c r="AV18" s="3">
        <v>3.8250000000000002</v>
      </c>
      <c r="AW18" s="3">
        <f t="shared" si="28"/>
        <v>3.6440976277794945</v>
      </c>
      <c r="AX18" s="3">
        <f t="shared" si="36"/>
        <v>3.5417096676278645</v>
      </c>
      <c r="AY18" s="3">
        <f t="shared" si="29"/>
        <v>26.273234518958141</v>
      </c>
      <c r="AZ18" s="3">
        <f t="shared" si="30"/>
        <v>25.535037257590947</v>
      </c>
    </row>
    <row r="19" spans="1:52" x14ac:dyDescent="0.2">
      <c r="A19" s="964">
        <v>2015</v>
      </c>
      <c r="B19" s="1370">
        <v>17.964410999999998</v>
      </c>
      <c r="C19" s="1370">
        <v>23.267790000000002</v>
      </c>
      <c r="D19" s="570">
        <f t="shared" si="31"/>
        <v>19.276370412676094</v>
      </c>
      <c r="E19" s="1370">
        <v>11.972967000000001</v>
      </c>
      <c r="F19" s="570">
        <f t="shared" si="32"/>
        <v>18.095159363615679</v>
      </c>
      <c r="G19" s="1370">
        <v>8.1054680000000001</v>
      </c>
      <c r="H19" s="1370">
        <v>16.648273</v>
      </c>
      <c r="I19" s="1370">
        <v>29.485486999999999</v>
      </c>
      <c r="J19" s="1311">
        <f t="shared" si="0"/>
        <v>89.418777943368113</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8.1792740938000001</v>
      </c>
      <c r="T19" s="552">
        <f t="shared" si="10"/>
        <v>12.402384500745157</v>
      </c>
      <c r="U19" s="1374">
        <f t="shared" si="11"/>
        <v>2</v>
      </c>
      <c r="W19" s="964">
        <v>2015</v>
      </c>
      <c r="X19" s="570">
        <f t="shared" si="12"/>
        <v>14.070028195804197</v>
      </c>
      <c r="Y19" s="570">
        <f t="shared" si="13"/>
        <v>24.748467545454545</v>
      </c>
      <c r="Z19" s="570">
        <f t="shared" si="14"/>
        <v>18.386291673623973</v>
      </c>
      <c r="AA19" s="570">
        <f t="shared" si="33"/>
        <v>11.972967000000001</v>
      </c>
      <c r="AB19" s="570">
        <f t="shared" si="15"/>
        <v>17.276214849269167</v>
      </c>
      <c r="AC19" s="570">
        <f t="shared" si="34"/>
        <v>8.1054680000000001</v>
      </c>
      <c r="AD19" s="570">
        <f t="shared" si="16"/>
        <v>14.408595017937218</v>
      </c>
      <c r="AE19" s="570">
        <f t="shared" si="35"/>
        <v>29.485486999999999</v>
      </c>
      <c r="AF19" s="652">
        <f t="shared" si="17"/>
        <v>89.418777943368113</v>
      </c>
      <c r="AG19" s="551">
        <v>2015</v>
      </c>
      <c r="AH19" s="545">
        <f t="shared" si="19"/>
        <v>1.951512910758042</v>
      </c>
      <c r="AI19" s="545">
        <f t="shared" si="20"/>
        <v>3.4326124485545457</v>
      </c>
      <c r="AJ19" s="545">
        <f t="shared" si="21"/>
        <v>2.5501786551316452</v>
      </c>
      <c r="AK19" s="545">
        <f t="shared" si="22"/>
        <v>1.6606505228999999</v>
      </c>
      <c r="AL19" s="545">
        <f t="shared" si="23"/>
        <v>2.3962109995936332</v>
      </c>
      <c r="AM19" s="545">
        <f t="shared" si="24"/>
        <v>1.1242284116000001</v>
      </c>
      <c r="AN19" s="545">
        <f t="shared" si="25"/>
        <v>1.9984721289878922</v>
      </c>
      <c r="AO19" s="545">
        <f t="shared" si="26"/>
        <v>8.1792740938000001</v>
      </c>
      <c r="AP19" s="552">
        <f t="shared" si="27"/>
        <v>12.402384500745157</v>
      </c>
      <c r="AQ19" s="10"/>
      <c r="AR19" s="967" t="str">
        <v>Electricity</v>
      </c>
      <c r="AT19" s="3">
        <v>6.109</v>
      </c>
      <c r="AU19" s="3">
        <v>2.5100100299999997</v>
      </c>
      <c r="AV19" s="3">
        <v>2.7069999999999999</v>
      </c>
      <c r="AW19" s="3">
        <f t="shared" si="28"/>
        <v>2.6736325762381741</v>
      </c>
      <c r="AX19" s="3">
        <f t="shared" si="36"/>
        <v>2.5097986037334952</v>
      </c>
      <c r="AY19" s="3">
        <f t="shared" si="29"/>
        <v>19.276370412676094</v>
      </c>
      <c r="AZ19" s="3">
        <f t="shared" si="30"/>
        <v>18.095159363615679</v>
      </c>
    </row>
    <row r="20" spans="1:52" x14ac:dyDescent="0.2">
      <c r="A20" s="963">
        <v>2016</v>
      </c>
      <c r="B20" s="1350">
        <v>17.741709</v>
      </c>
      <c r="C20" s="1350">
        <v>20.812339999999999</v>
      </c>
      <c r="D20" s="569">
        <f t="shared" si="31"/>
        <v>17.133898361264325</v>
      </c>
      <c r="E20" s="1350">
        <v>9.9809680000000007</v>
      </c>
      <c r="F20" s="569">
        <f t="shared" si="32"/>
        <v>15.595396535463674</v>
      </c>
      <c r="G20" s="1350">
        <v>6.2571779999999997</v>
      </c>
      <c r="H20" s="1350">
        <v>14.278964</v>
      </c>
      <c r="I20" s="1350">
        <v>28.885411999999999</v>
      </c>
      <c r="J20" s="1311">
        <f t="shared" si="0"/>
        <v>85.692995529061108</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8.0128132887999985</v>
      </c>
      <c r="T20" s="550">
        <f t="shared" si="10"/>
        <v>11.885618479880776</v>
      </c>
      <c r="U20" s="1374">
        <f t="shared" si="11"/>
        <v>2</v>
      </c>
      <c r="W20" s="963">
        <v>2016</v>
      </c>
      <c r="X20" s="1350">
        <f t="shared" si="12"/>
        <v>13.895604251748255</v>
      </c>
      <c r="Y20" s="1350">
        <f t="shared" si="13"/>
        <v>22.136761636363634</v>
      </c>
      <c r="Z20" s="1350">
        <f t="shared" si="14"/>
        <v>16.342747417287203</v>
      </c>
      <c r="AA20" s="1350">
        <f t="shared" si="33"/>
        <v>9.9809680000000007</v>
      </c>
      <c r="AB20" s="1350">
        <f t="shared" si="15"/>
        <v>14.889585429568855</v>
      </c>
      <c r="AC20" s="1350">
        <f t="shared" si="34"/>
        <v>6.2571779999999997</v>
      </c>
      <c r="AD20" s="1350">
        <f t="shared" si="16"/>
        <v>12.358027139013453</v>
      </c>
      <c r="AE20" s="1350">
        <f t="shared" si="35"/>
        <v>28.885411999999999</v>
      </c>
      <c r="AF20" s="652">
        <f t="shared" si="17"/>
        <v>85.692995529061108</v>
      </c>
      <c r="AG20" s="549">
        <v>2016</v>
      </c>
      <c r="AH20" s="544">
        <f t="shared" si="19"/>
        <v>1.9273203097174829</v>
      </c>
      <c r="AI20" s="544">
        <f t="shared" si="20"/>
        <v>3.0703688389636361</v>
      </c>
      <c r="AJ20" s="544">
        <f t="shared" si="21"/>
        <v>2.2667390667777352</v>
      </c>
      <c r="AK20" s="544">
        <f t="shared" si="22"/>
        <v>1.3843602616000001</v>
      </c>
      <c r="AL20" s="544">
        <f t="shared" si="23"/>
        <v>2.0651854990812004</v>
      </c>
      <c r="AM20" s="544">
        <f t="shared" si="24"/>
        <v>0.86787058859999988</v>
      </c>
      <c r="AN20" s="544">
        <f t="shared" si="25"/>
        <v>1.714058364181166</v>
      </c>
      <c r="AO20" s="544">
        <f t="shared" si="26"/>
        <v>8.0128132887999985</v>
      </c>
      <c r="AP20" s="550">
        <f t="shared" si="27"/>
        <v>11.885618479880776</v>
      </c>
      <c r="AQ20" s="10"/>
      <c r="AR20" s="967" t="str">
        <v>Hydrogen</v>
      </c>
      <c r="AT20" s="3">
        <v>6.1859999999999999</v>
      </c>
      <c r="AU20" s="3">
        <v>2.2032642600000001</v>
      </c>
      <c r="AV20" s="3">
        <v>2.3039999999999998</v>
      </c>
      <c r="AW20" s="3">
        <f t="shared" si="28"/>
        <v>2.3764717027073621</v>
      </c>
      <c r="AX20" s="3">
        <f t="shared" si="36"/>
        <v>2.1630814994688112</v>
      </c>
      <c r="AY20" s="3">
        <f t="shared" si="29"/>
        <v>17.133898361264325</v>
      </c>
      <c r="AZ20" s="3">
        <f t="shared" si="30"/>
        <v>15.595396535463674</v>
      </c>
    </row>
    <row r="21" spans="1:52" ht="13.5" thickBot="1" x14ac:dyDescent="0.25">
      <c r="A21" s="963">
        <v>2017</v>
      </c>
      <c r="B21" s="1370">
        <v>19.093874</v>
      </c>
      <c r="C21" s="1370">
        <v>22.146609999999999</v>
      </c>
      <c r="D21" s="570">
        <f t="shared" si="31"/>
        <v>19.605030446056329</v>
      </c>
      <c r="E21" s="1370">
        <v>12.362413999999999</v>
      </c>
      <c r="F21" s="570">
        <f t="shared" si="32"/>
        <v>18.320171162026067</v>
      </c>
      <c r="G21" s="1370">
        <v>8.6428510000000003</v>
      </c>
      <c r="H21" s="1370">
        <v>14.744268999999999</v>
      </c>
      <c r="I21" s="1370">
        <v>29.101451999999998</v>
      </c>
      <c r="J21" s="1311">
        <f t="shared" si="0"/>
        <v>81.967213114754102</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8.0727427847999991</v>
      </c>
      <c r="T21" s="550">
        <f t="shared" si="10"/>
        <v>11.368852459016393</v>
      </c>
      <c r="U21" s="1374">
        <f t="shared" si="11"/>
        <v>2</v>
      </c>
      <c r="W21" s="963">
        <v>2017</v>
      </c>
      <c r="X21" s="1370">
        <f t="shared" si="12"/>
        <v>14.954642573426575</v>
      </c>
      <c r="Y21" s="1370">
        <f t="shared" si="13"/>
        <v>23.555939727272722</v>
      </c>
      <c r="Z21" s="1370">
        <f t="shared" si="14"/>
        <v>18.69977596064609</v>
      </c>
      <c r="AA21" s="1370">
        <f t="shared" si="33"/>
        <v>12.362413999999999</v>
      </c>
      <c r="AB21" s="1370">
        <f t="shared" si="15"/>
        <v>17.491043140904704</v>
      </c>
      <c r="AC21" s="1370">
        <f t="shared" si="34"/>
        <v>8.6428510000000003</v>
      </c>
      <c r="AD21" s="1370">
        <f t="shared" si="16"/>
        <v>12.760735053811658</v>
      </c>
      <c r="AE21" s="1370">
        <f t="shared" si="35"/>
        <v>29.101451999999998</v>
      </c>
      <c r="AF21" s="652">
        <f t="shared" si="17"/>
        <v>81.967213114754102</v>
      </c>
      <c r="AG21" s="549">
        <v>2017</v>
      </c>
      <c r="AH21" s="544">
        <f t="shared" si="19"/>
        <v>2.0742089249342661</v>
      </c>
      <c r="AI21" s="544">
        <f t="shared" si="20"/>
        <v>3.2672088401727266</v>
      </c>
      <c r="AJ21" s="544">
        <f t="shared" si="21"/>
        <v>2.5936589257416123</v>
      </c>
      <c r="AK21" s="544">
        <f t="shared" si="22"/>
        <v>1.7146668217999999</v>
      </c>
      <c r="AL21" s="544">
        <f t="shared" si="23"/>
        <v>2.4260076836434825</v>
      </c>
      <c r="AM21" s="544">
        <f t="shared" si="24"/>
        <v>1.1987634336999999</v>
      </c>
      <c r="AN21" s="544">
        <f t="shared" si="25"/>
        <v>1.7699139519636768</v>
      </c>
      <c r="AO21" s="544">
        <f t="shared" si="26"/>
        <v>8.0727427847999991</v>
      </c>
      <c r="AP21" s="550">
        <f t="shared" si="27"/>
        <v>11.368852459016393</v>
      </c>
      <c r="AQ21" s="10"/>
      <c r="AR21" s="968" t="s">
        <v>229</v>
      </c>
      <c r="AT21" s="3">
        <v>6.3179999999999996</v>
      </c>
      <c r="AU21" s="3">
        <v>2.4683584000000001</v>
      </c>
      <c r="AV21" s="3">
        <v>2.65</v>
      </c>
      <c r="AW21" s="3">
        <f t="shared" si="28"/>
        <v>2.719217722868013</v>
      </c>
      <c r="AX21" s="3">
        <f t="shared" si="36"/>
        <v>2.5410077401730153</v>
      </c>
      <c r="AY21" s="3">
        <f t="shared" si="29"/>
        <v>19.605030446056329</v>
      </c>
      <c r="AZ21" s="3">
        <f t="shared" si="30"/>
        <v>18.320171162026067</v>
      </c>
    </row>
    <row r="22" spans="1:52" ht="13.5" thickTop="1" x14ac:dyDescent="0.2">
      <c r="A22" s="963">
        <v>2018</v>
      </c>
      <c r="B22" s="1370">
        <v>18.011908999999999</v>
      </c>
      <c r="C22" s="1370">
        <v>29.232935000000001</v>
      </c>
      <c r="D22" s="570">
        <f t="shared" si="31"/>
        <v>22.739042504488459</v>
      </c>
      <c r="E22" s="1370">
        <v>16.156372000000001</v>
      </c>
      <c r="F22" s="570">
        <f t="shared" si="32"/>
        <v>22.505902487847884</v>
      </c>
      <c r="G22" s="1370">
        <v>10.938333999999999</v>
      </c>
      <c r="H22" s="1370">
        <v>14.392683999999999</v>
      </c>
      <c r="I22" s="1370">
        <v>33.287472000000001</v>
      </c>
      <c r="J22" s="1311">
        <f t="shared" si="0"/>
        <v>78.241430700447097</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9.2339447327999995</v>
      </c>
      <c r="T22" s="550">
        <f t="shared" si="10"/>
        <v>10.852086438152012</v>
      </c>
      <c r="U22" s="1374">
        <f t="shared" si="11"/>
        <v>2</v>
      </c>
      <c r="W22" s="963">
        <v>2018</v>
      </c>
      <c r="X22" s="1370">
        <f t="shared" si="12"/>
        <v>14.107229426573427</v>
      </c>
      <c r="Y22" s="1370">
        <f t="shared" si="13"/>
        <v>31.09321268181818</v>
      </c>
      <c r="Z22" s="1370">
        <f t="shared" si="14"/>
        <v>21.689076258439453</v>
      </c>
      <c r="AA22" s="1370">
        <f t="shared" si="33"/>
        <v>16.156372000000001</v>
      </c>
      <c r="AB22" s="1370">
        <f t="shared" si="15"/>
        <v>21.487338074433527</v>
      </c>
      <c r="AC22" s="1370">
        <f t="shared" si="34"/>
        <v>10.938333999999999</v>
      </c>
      <c r="AD22" s="1370">
        <f t="shared" si="16"/>
        <v>12.45644848430493</v>
      </c>
      <c r="AE22" s="1370">
        <f t="shared" si="35"/>
        <v>33.287472000000001</v>
      </c>
      <c r="AF22" s="652">
        <f t="shared" si="17"/>
        <v>78.241430700447097</v>
      </c>
      <c r="AG22" s="549">
        <v>2018</v>
      </c>
      <c r="AH22" s="544">
        <f t="shared" si="19"/>
        <v>1.9566727214657342</v>
      </c>
      <c r="AI22" s="544">
        <f t="shared" si="20"/>
        <v>4.3126285989681818</v>
      </c>
      <c r="AJ22" s="544">
        <f t="shared" si="21"/>
        <v>3.0082748770455523</v>
      </c>
      <c r="AK22" s="544">
        <f t="shared" si="22"/>
        <v>2.2408887964000002</v>
      </c>
      <c r="AL22" s="544">
        <f t="shared" si="23"/>
        <v>2.9802937909239304</v>
      </c>
      <c r="AM22" s="544">
        <f t="shared" si="24"/>
        <v>1.5171469257999999</v>
      </c>
      <c r="AN22" s="544">
        <f t="shared" si="25"/>
        <v>1.7277094047730939</v>
      </c>
      <c r="AO22" s="544">
        <f t="shared" si="26"/>
        <v>9.2339447327999995</v>
      </c>
      <c r="AP22" s="550">
        <f t="shared" si="27"/>
        <v>10.852086438152012</v>
      </c>
      <c r="AQ22" s="10"/>
      <c r="AT22" s="3">
        <v>6.4720000000000004</v>
      </c>
      <c r="AU22" s="3">
        <v>2.7948209099999999</v>
      </c>
      <c r="AV22" s="3">
        <v>3.1779999999999999</v>
      </c>
      <c r="AW22" s="3">
        <f t="shared" si="28"/>
        <v>3.1539051953725488</v>
      </c>
      <c r="AX22" s="3">
        <f t="shared" si="36"/>
        <v>3.1215686750645011</v>
      </c>
      <c r="AY22" s="3">
        <f t="shared" si="29"/>
        <v>22.739042504488459</v>
      </c>
      <c r="AZ22" s="3">
        <f t="shared" si="30"/>
        <v>22.505902487847884</v>
      </c>
    </row>
    <row r="23" spans="1:52" x14ac:dyDescent="0.2">
      <c r="A23" s="963">
        <v>2019</v>
      </c>
      <c r="B23" s="491">
        <v>16.634917999999999</v>
      </c>
      <c r="C23" s="491">
        <v>24.537946999999999</v>
      </c>
      <c r="D23" s="491">
        <v>22.170871999999999</v>
      </c>
      <c r="E23" s="491">
        <v>14.641048</v>
      </c>
      <c r="F23" s="491">
        <v>22.110787999999999</v>
      </c>
      <c r="G23" s="491">
        <v>9.5779259999999997</v>
      </c>
      <c r="H23" s="491">
        <v>13.698598</v>
      </c>
      <c r="I23" s="491">
        <v>33.252597999999999</v>
      </c>
      <c r="J23" s="1311">
        <f t="shared" si="0"/>
        <v>74.515648286140092</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9.2242706852000005</v>
      </c>
      <c r="T23" s="550">
        <f t="shared" si="10"/>
        <v>10.335320417287631</v>
      </c>
      <c r="U23" s="1374">
        <f t="shared" si="11"/>
        <v>2</v>
      </c>
      <c r="W23" s="963">
        <v>2019</v>
      </c>
      <c r="X23" s="491">
        <f t="shared" si="12"/>
        <v>13.028746965034966</v>
      </c>
      <c r="Y23" s="491">
        <f t="shared" si="13"/>
        <v>26.099452718181812</v>
      </c>
      <c r="Z23" s="491">
        <f t="shared" si="14"/>
        <v>21.147140801077349</v>
      </c>
      <c r="AA23" s="491">
        <f t="shared" si="33"/>
        <v>14.641048</v>
      </c>
      <c r="AB23" s="491">
        <f t="shared" si="15"/>
        <v>21.110105542519808</v>
      </c>
      <c r="AC23" s="491">
        <f t="shared" si="34"/>
        <v>9.5779259999999997</v>
      </c>
      <c r="AD23" s="491">
        <f t="shared" si="16"/>
        <v>11.85573728251121</v>
      </c>
      <c r="AE23" s="491">
        <f t="shared" si="35"/>
        <v>33.252597999999999</v>
      </c>
      <c r="AF23" s="652">
        <f t="shared" si="17"/>
        <v>74.515648286140092</v>
      </c>
      <c r="AG23" s="549">
        <v>2019</v>
      </c>
      <c r="AH23" s="544">
        <f t="shared" si="19"/>
        <v>1.8070872040503498</v>
      </c>
      <c r="AI23" s="544">
        <f t="shared" si="20"/>
        <v>3.6199940920118174</v>
      </c>
      <c r="AJ23" s="544">
        <f t="shared" si="21"/>
        <v>2.9331084291094283</v>
      </c>
      <c r="AK23" s="544">
        <f t="shared" si="22"/>
        <v>2.0307133575999998</v>
      </c>
      <c r="AL23" s="544">
        <f t="shared" si="23"/>
        <v>2.9279716387474974</v>
      </c>
      <c r="AM23" s="544">
        <f t="shared" si="24"/>
        <v>1.3284583362</v>
      </c>
      <c r="AN23" s="544">
        <f t="shared" si="25"/>
        <v>1.6443907610843049</v>
      </c>
      <c r="AO23" s="544">
        <f t="shared" si="26"/>
        <v>9.2242706852000005</v>
      </c>
      <c r="AP23" s="550">
        <f t="shared" si="27"/>
        <v>10.335320417287631</v>
      </c>
      <c r="AQ23" s="10"/>
      <c r="AT23" s="3">
        <v>6.5890000000000004</v>
      </c>
      <c r="AU23" s="3">
        <v>2.6971813500000001</v>
      </c>
      <c r="AV23" s="3">
        <v>3.056</v>
      </c>
      <c r="AW23" s="3">
        <f t="shared" si="28"/>
        <v>3.0987447049102927</v>
      </c>
      <c r="AX23" s="3">
        <f t="shared" si="36"/>
        <v>3.056</v>
      </c>
      <c r="AY23" s="3">
        <f t="shared" si="29"/>
        <v>22.341346106058349</v>
      </c>
      <c r="AZ23" s="3">
        <f t="shared" si="30"/>
        <v>22.033165104542178</v>
      </c>
    </row>
    <row r="24" spans="1:52" x14ac:dyDescent="0.2">
      <c r="A24" s="964">
        <v>2020</v>
      </c>
      <c r="B24" s="491">
        <v>15.560148999999999</v>
      </c>
      <c r="C24" s="491">
        <v>24.243863999999999</v>
      </c>
      <c r="D24" s="491">
        <v>21.954423999999999</v>
      </c>
      <c r="E24" s="491">
        <v>14.449450000000001</v>
      </c>
      <c r="F24" s="491">
        <v>21.343924999999999</v>
      </c>
      <c r="G24" s="491">
        <v>10.569046</v>
      </c>
      <c r="H24" s="491">
        <v>13.285862</v>
      </c>
      <c r="I24" s="491">
        <v>33.912785</v>
      </c>
      <c r="J24" s="1311">
        <f t="shared" si="0"/>
        <v>70.789865871833086</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si="9"/>
        <v>9.407406559</v>
      </c>
      <c r="T24" s="552">
        <f t="shared" si="10"/>
        <v>9.8185543964232487</v>
      </c>
      <c r="U24" s="1375">
        <f>'S-curves'!AN9</f>
        <v>2</v>
      </c>
      <c r="W24" s="964">
        <v>2020</v>
      </c>
      <c r="X24" s="491">
        <f t="shared" si="12"/>
        <v>12.186969846153847</v>
      </c>
      <c r="Y24" s="491">
        <f t="shared" si="13"/>
        <v>25.786655345454541</v>
      </c>
      <c r="Z24" s="491">
        <f t="shared" si="14"/>
        <v>20.940687201412366</v>
      </c>
      <c r="AA24" s="491">
        <f t="shared" si="33"/>
        <v>14.449450000000001</v>
      </c>
      <c r="AB24" s="491">
        <f t="shared" si="15"/>
        <v>20.377948965076552</v>
      </c>
      <c r="AC24" s="491">
        <f t="shared" si="34"/>
        <v>10.569046</v>
      </c>
      <c r="AD24" s="491">
        <f t="shared" si="16"/>
        <v>11.498526304932735</v>
      </c>
      <c r="AE24" s="491">
        <f t="shared" si="35"/>
        <v>33.912785</v>
      </c>
      <c r="AF24" s="652">
        <f t="shared" si="17"/>
        <v>70.789865871833086</v>
      </c>
      <c r="AG24" s="551">
        <v>2020</v>
      </c>
      <c r="AH24" s="545">
        <f t="shared" si="19"/>
        <v>1.6903327176615386</v>
      </c>
      <c r="AI24" s="545">
        <f t="shared" si="20"/>
        <v>3.5766090964145447</v>
      </c>
      <c r="AJ24" s="545">
        <f t="shared" si="21"/>
        <v>2.9044733148358954</v>
      </c>
      <c r="AK24" s="545">
        <f t="shared" si="22"/>
        <v>2.0041387150000003</v>
      </c>
      <c r="AL24" s="545">
        <f t="shared" si="23"/>
        <v>2.8264215214561177</v>
      </c>
      <c r="AM24" s="545">
        <f t="shared" si="24"/>
        <v>1.4659266802000002</v>
      </c>
      <c r="AN24" s="545">
        <f t="shared" si="25"/>
        <v>1.5948455984941705</v>
      </c>
      <c r="AO24" s="545">
        <f t="shared" si="26"/>
        <v>9.407406559</v>
      </c>
      <c r="AP24" s="552">
        <f t="shared" si="27"/>
        <v>9.8185543964232487</v>
      </c>
      <c r="AQ24" s="10"/>
    </row>
    <row r="25" spans="1:52" x14ac:dyDescent="0.2">
      <c r="A25" s="963">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1">
        <f t="shared" si="0"/>
        <v>67.064083457526081</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9"/>
        <v>9.4237110214000008</v>
      </c>
      <c r="T25" s="550">
        <f t="shared" si="10"/>
        <v>9.3017883755588677</v>
      </c>
      <c r="U25" s="1375">
        <f>'S-curves'!AN10</f>
        <v>2</v>
      </c>
      <c r="W25" s="963">
        <v>2021</v>
      </c>
      <c r="X25" s="491">
        <f t="shared" si="12"/>
        <v>12.547705398601401</v>
      </c>
      <c r="Y25" s="491">
        <f t="shared" si="13"/>
        <v>31.812847772727267</v>
      </c>
      <c r="Z25" s="491">
        <f t="shared" si="14"/>
        <v>20.963633379003014</v>
      </c>
      <c r="AA25" s="491">
        <f t="shared" si="33"/>
        <v>14.469915</v>
      </c>
      <c r="AB25" s="491">
        <f t="shared" si="15"/>
        <v>20.485171303916431</v>
      </c>
      <c r="AC25" s="491">
        <f t="shared" si="34"/>
        <v>10.419720999999999</v>
      </c>
      <c r="AD25" s="491">
        <f t="shared" si="16"/>
        <v>10.955606919282509</v>
      </c>
      <c r="AE25" s="491">
        <f t="shared" si="35"/>
        <v>33.971561000000001</v>
      </c>
      <c r="AF25" s="652">
        <f t="shared" si="17"/>
        <v>67.064083457526081</v>
      </c>
      <c r="AG25" s="549">
        <v>2021</v>
      </c>
      <c r="AH25" s="544">
        <f t="shared" si="19"/>
        <v>1.7403667387860142</v>
      </c>
      <c r="AI25" s="544">
        <f t="shared" si="20"/>
        <v>4.4124419860772726</v>
      </c>
      <c r="AJ25" s="544">
        <f t="shared" si="21"/>
        <v>2.9076559496677179</v>
      </c>
      <c r="AK25" s="544">
        <f t="shared" si="22"/>
        <v>2.0069772105000001</v>
      </c>
      <c r="AL25" s="544">
        <f t="shared" si="23"/>
        <v>2.841293259853209</v>
      </c>
      <c r="AM25" s="544">
        <f t="shared" si="24"/>
        <v>1.4452153026999999</v>
      </c>
      <c r="AN25" s="544">
        <f t="shared" si="25"/>
        <v>1.519542679704484</v>
      </c>
      <c r="AO25" s="544">
        <f t="shared" si="26"/>
        <v>9.4237110214000008</v>
      </c>
      <c r="AP25" s="550">
        <f t="shared" si="27"/>
        <v>9.3017883755588677</v>
      </c>
      <c r="AQ25" s="10"/>
    </row>
    <row r="26" spans="1:52" x14ac:dyDescent="0.2">
      <c r="A26" s="963">
        <v>2022</v>
      </c>
      <c r="B26" s="491">
        <v>16.712645999999999</v>
      </c>
      <c r="C26" s="491">
        <v>28.426769</v>
      </c>
      <c r="D26" s="491">
        <v>21.98358</v>
      </c>
      <c r="E26" s="491">
        <v>14.677915</v>
      </c>
      <c r="F26" s="491">
        <v>21.792422999999999</v>
      </c>
      <c r="G26" s="491">
        <v>10.188439000000001</v>
      </c>
      <c r="H26" s="491">
        <v>12.415777</v>
      </c>
      <c r="I26" s="491">
        <v>34.360657000000003</v>
      </c>
      <c r="J26" s="1311">
        <f t="shared" si="0"/>
        <v>63.338301043219076</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9"/>
        <v>9.5316462517999998</v>
      </c>
      <c r="T26" s="550">
        <f t="shared" si="10"/>
        <v>8.785022354694485</v>
      </c>
      <c r="U26" s="1375">
        <f>'S-curves'!AN11</f>
        <v>2</v>
      </c>
      <c r="W26" s="963">
        <v>2022</v>
      </c>
      <c r="X26" s="491">
        <f t="shared" si="12"/>
        <v>13.089624839160841</v>
      </c>
      <c r="Y26" s="491">
        <f t="shared" si="13"/>
        <v>30.235745209090904</v>
      </c>
      <c r="Z26" s="491">
        <f t="shared" si="14"/>
        <v>20.968496934705502</v>
      </c>
      <c r="AA26" s="491">
        <f t="shared" si="33"/>
        <v>14.677915</v>
      </c>
      <c r="AB26" s="491">
        <f t="shared" si="15"/>
        <v>20.806148996464355</v>
      </c>
      <c r="AC26" s="491">
        <f t="shared" si="34"/>
        <v>10.188439000000001</v>
      </c>
      <c r="AD26" s="491">
        <f t="shared" si="16"/>
        <v>10.745493098654707</v>
      </c>
      <c r="AE26" s="491">
        <f t="shared" si="35"/>
        <v>34.360657000000003</v>
      </c>
      <c r="AF26" s="652">
        <f t="shared" si="17"/>
        <v>63.338301043219076</v>
      </c>
      <c r="AG26" s="549">
        <v>2022</v>
      </c>
      <c r="AH26" s="544">
        <f t="shared" si="19"/>
        <v>1.8155309651916085</v>
      </c>
      <c r="AI26" s="544">
        <f t="shared" si="20"/>
        <v>4.1936978605009081</v>
      </c>
      <c r="AJ26" s="544">
        <f t="shared" si="21"/>
        <v>2.9083305248436533</v>
      </c>
      <c r="AK26" s="544">
        <f t="shared" si="22"/>
        <v>2.0358268105000001</v>
      </c>
      <c r="AL26" s="544">
        <f t="shared" si="23"/>
        <v>2.8858128658096058</v>
      </c>
      <c r="AM26" s="544">
        <f t="shared" si="24"/>
        <v>1.4131364893</v>
      </c>
      <c r="AN26" s="544">
        <f t="shared" si="25"/>
        <v>1.4903998927834079</v>
      </c>
      <c r="AO26" s="544">
        <f t="shared" si="26"/>
        <v>9.5316462517999998</v>
      </c>
      <c r="AP26" s="550">
        <f t="shared" si="27"/>
        <v>8.785022354694485</v>
      </c>
      <c r="AQ26" s="10"/>
    </row>
    <row r="27" spans="1:52" x14ac:dyDescent="0.2">
      <c r="A27" s="963">
        <v>2023</v>
      </c>
      <c r="B27" s="491">
        <v>17.151492999999999</v>
      </c>
      <c r="C27" s="491">
        <v>28.618099000000001</v>
      </c>
      <c r="D27" s="491">
        <v>21.894874999999999</v>
      </c>
      <c r="E27" s="491">
        <v>14.784328</v>
      </c>
      <c r="F27" s="491">
        <v>21.917566000000001</v>
      </c>
      <c r="G27" s="491">
        <v>8.9142880000000009</v>
      </c>
      <c r="H27" s="491">
        <v>12.426674999999999</v>
      </c>
      <c r="I27" s="491">
        <v>34.89761</v>
      </c>
      <c r="J27" s="1311">
        <f t="shared" si="0"/>
        <v>59.612518628912071</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9"/>
        <v>9.6805970139999999</v>
      </c>
      <c r="T27" s="550">
        <f t="shared" si="10"/>
        <v>8.2682563338301041</v>
      </c>
      <c r="U27" s="1375">
        <f>'S-curves'!AN12</f>
        <v>2</v>
      </c>
      <c r="W27" s="963">
        <v>2023</v>
      </c>
      <c r="X27" s="491">
        <f t="shared" si="12"/>
        <v>13.433337174825176</v>
      </c>
      <c r="Y27" s="491">
        <f t="shared" si="13"/>
        <v>30.439250754545451</v>
      </c>
      <c r="Z27" s="491">
        <f t="shared" si="14"/>
        <v>20.883887852809238</v>
      </c>
      <c r="AA27" s="491">
        <f t="shared" si="33"/>
        <v>14.784328</v>
      </c>
      <c r="AB27" s="491">
        <f t="shared" si="15"/>
        <v>20.925628317504724</v>
      </c>
      <c r="AC27" s="491">
        <f t="shared" si="34"/>
        <v>8.9142880000000009</v>
      </c>
      <c r="AD27" s="491">
        <f t="shared" si="16"/>
        <v>10.754924999999998</v>
      </c>
      <c r="AE27" s="491">
        <f t="shared" si="35"/>
        <v>34.89761</v>
      </c>
      <c r="AF27" s="652">
        <f t="shared" si="17"/>
        <v>59.612518628912071</v>
      </c>
      <c r="AG27" s="549">
        <v>2023</v>
      </c>
      <c r="AH27" s="544">
        <f t="shared" si="19"/>
        <v>1.863203866148252</v>
      </c>
      <c r="AI27" s="544">
        <f t="shared" si="20"/>
        <v>4.2219240796554542</v>
      </c>
      <c r="AJ27" s="544">
        <f t="shared" si="21"/>
        <v>2.8965952451846415</v>
      </c>
      <c r="AK27" s="544">
        <f t="shared" si="22"/>
        <v>2.0505862935999999</v>
      </c>
      <c r="AL27" s="544">
        <f t="shared" si="23"/>
        <v>2.9023846476379052</v>
      </c>
      <c r="AM27" s="544">
        <f t="shared" si="24"/>
        <v>1.2364117456000001</v>
      </c>
      <c r="AN27" s="544">
        <f t="shared" si="25"/>
        <v>1.4917080974999997</v>
      </c>
      <c r="AO27" s="544">
        <f t="shared" si="26"/>
        <v>9.6805970139999999</v>
      </c>
      <c r="AP27" s="550">
        <f t="shared" si="27"/>
        <v>8.2682563338301041</v>
      </c>
      <c r="AQ27" s="10"/>
    </row>
    <row r="28" spans="1:52" x14ac:dyDescent="0.2">
      <c r="A28" s="963">
        <v>2024</v>
      </c>
      <c r="B28" s="491">
        <v>17.636644</v>
      </c>
      <c r="C28" s="491">
        <v>28.520074999999999</v>
      </c>
      <c r="D28" s="491">
        <v>21.602947</v>
      </c>
      <c r="E28" s="491">
        <v>15.181978000000001</v>
      </c>
      <c r="F28" s="491">
        <v>22.312809000000001</v>
      </c>
      <c r="G28" s="491">
        <v>9.2094129999999996</v>
      </c>
      <c r="H28" s="491">
        <v>12.301192</v>
      </c>
      <c r="I28" s="491">
        <v>35.386074000000001</v>
      </c>
      <c r="J28" s="1311">
        <f t="shared" si="0"/>
        <v>55.886736214605065</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9"/>
        <v>9.8160969276000003</v>
      </c>
      <c r="T28" s="550">
        <f t="shared" si="10"/>
        <v>7.7514903129657231</v>
      </c>
      <c r="U28" s="1375">
        <f>'S-curves'!AN13</f>
        <v>2</v>
      </c>
      <c r="W28" s="963">
        <v>2024</v>
      </c>
      <c r="X28" s="491">
        <f t="shared" si="12"/>
        <v>13.813315580419584</v>
      </c>
      <c r="Y28" s="491">
        <f t="shared" si="13"/>
        <v>30.334988863636358</v>
      </c>
      <c r="Z28" s="491">
        <f t="shared" si="14"/>
        <v>20.605439512131571</v>
      </c>
      <c r="AA28" s="491">
        <f t="shared" si="33"/>
        <v>15.181978000000001</v>
      </c>
      <c r="AB28" s="491">
        <f t="shared" si="15"/>
        <v>21.302983545411671</v>
      </c>
      <c r="AC28" s="491">
        <f t="shared" si="34"/>
        <v>9.2094129999999996</v>
      </c>
      <c r="AD28" s="491">
        <f t="shared" si="16"/>
        <v>10.646323121076232</v>
      </c>
      <c r="AE28" s="491">
        <f t="shared" si="35"/>
        <v>35.386074000000001</v>
      </c>
      <c r="AF28" s="652">
        <f t="shared" si="17"/>
        <v>55.886736214605065</v>
      </c>
      <c r="AG28" s="549">
        <v>2024</v>
      </c>
      <c r="AH28" s="544">
        <f t="shared" si="19"/>
        <v>1.9159068710041964</v>
      </c>
      <c r="AI28" s="544">
        <f t="shared" si="20"/>
        <v>4.2074629553863634</v>
      </c>
      <c r="AJ28" s="544">
        <f t="shared" si="21"/>
        <v>2.8579744603326489</v>
      </c>
      <c r="AK28" s="544">
        <f t="shared" si="22"/>
        <v>2.1057403485999999</v>
      </c>
      <c r="AL28" s="544">
        <f t="shared" si="23"/>
        <v>2.9547238177485986</v>
      </c>
      <c r="AM28" s="544">
        <f t="shared" si="24"/>
        <v>1.2773455831</v>
      </c>
      <c r="AN28" s="544">
        <f t="shared" si="25"/>
        <v>1.4766450168932734</v>
      </c>
      <c r="AO28" s="544">
        <f t="shared" si="26"/>
        <v>9.8160969276000003</v>
      </c>
      <c r="AP28" s="550">
        <f t="shared" si="27"/>
        <v>7.7514903129657231</v>
      </c>
      <c r="AQ28" s="10"/>
    </row>
    <row r="29" spans="1:52" s="48" customFormat="1" x14ac:dyDescent="0.2">
      <c r="A29" s="964">
        <v>2025</v>
      </c>
      <c r="B29" s="491">
        <v>18.329802999999998</v>
      </c>
      <c r="C29" s="491">
        <v>27.862691999999999</v>
      </c>
      <c r="D29" s="491">
        <v>21.847075</v>
      </c>
      <c r="E29" s="491">
        <v>15.254274000000001</v>
      </c>
      <c r="F29" s="491">
        <v>22.445829</v>
      </c>
      <c r="G29" s="491">
        <v>9.4572199999999995</v>
      </c>
      <c r="H29" s="491">
        <v>12.310214999999999</v>
      </c>
      <c r="I29" s="491">
        <v>36.138537999999997</v>
      </c>
      <c r="J29" s="1311">
        <f t="shared" si="0"/>
        <v>52.16095380029806</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9"/>
        <v>10.024830441199999</v>
      </c>
      <c r="T29" s="552">
        <f t="shared" si="10"/>
        <v>7.2347242921013413</v>
      </c>
      <c r="U29" s="1375">
        <f>'S-curves'!AN14</f>
        <v>2</v>
      </c>
      <c r="V29"/>
      <c r="W29" s="964">
        <v>2025</v>
      </c>
      <c r="X29" s="491">
        <f t="shared" si="12"/>
        <v>14.356209342657344</v>
      </c>
      <c r="Y29" s="491">
        <f t="shared" si="13"/>
        <v>29.635772399999993</v>
      </c>
      <c r="Z29" s="491">
        <f t="shared" si="14"/>
        <v>20.838294998802798</v>
      </c>
      <c r="AA29" s="491">
        <f t="shared" si="33"/>
        <v>15.254274000000001</v>
      </c>
      <c r="AB29" s="491">
        <f t="shared" si="15"/>
        <v>21.4299833718885</v>
      </c>
      <c r="AC29" s="491">
        <f t="shared" si="34"/>
        <v>9.4572199999999995</v>
      </c>
      <c r="AD29" s="491">
        <f t="shared" si="16"/>
        <v>10.65413226457399</v>
      </c>
      <c r="AE29" s="491">
        <f t="shared" si="35"/>
        <v>36.138537999999997</v>
      </c>
      <c r="AF29" s="652">
        <f t="shared" si="17"/>
        <v>52.16095380029806</v>
      </c>
      <c r="AG29" s="551">
        <v>2025</v>
      </c>
      <c r="AH29" s="545">
        <f t="shared" si="19"/>
        <v>1.9912062358265736</v>
      </c>
      <c r="AI29" s="545">
        <f t="shared" si="20"/>
        <v>4.110481631879999</v>
      </c>
      <c r="AJ29" s="545">
        <f t="shared" si="21"/>
        <v>2.8902715163339479</v>
      </c>
      <c r="AK29" s="545">
        <f t="shared" si="22"/>
        <v>2.1157678037999998</v>
      </c>
      <c r="AL29" s="545">
        <f t="shared" si="23"/>
        <v>2.9723386936809351</v>
      </c>
      <c r="AM29" s="545">
        <f t="shared" si="24"/>
        <v>1.3117164139999999</v>
      </c>
      <c r="AN29" s="545">
        <f t="shared" si="25"/>
        <v>1.4777281450964124</v>
      </c>
      <c r="AO29" s="545">
        <f t="shared" si="26"/>
        <v>10.024830441199999</v>
      </c>
      <c r="AP29" s="552">
        <f t="shared" si="27"/>
        <v>7.2347242921013413</v>
      </c>
      <c r="AQ29" s="10"/>
    </row>
    <row r="30" spans="1:52" x14ac:dyDescent="0.2">
      <c r="A30" s="963">
        <v>2026</v>
      </c>
      <c r="B30" s="491">
        <v>18.998629000000001</v>
      </c>
      <c r="C30" s="491">
        <v>27.936610999999999</v>
      </c>
      <c r="D30" s="491">
        <v>22.031654</v>
      </c>
      <c r="E30" s="491">
        <v>15.71048</v>
      </c>
      <c r="F30" s="491">
        <v>22.857292000000001</v>
      </c>
      <c r="G30" s="491">
        <v>10.104760000000001</v>
      </c>
      <c r="H30" s="491">
        <v>12.265231</v>
      </c>
      <c r="I30" s="491">
        <v>36.758361999999998</v>
      </c>
      <c r="J30" s="1311">
        <f t="shared" si="0"/>
        <v>51.266766020864381</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9"/>
        <v>10.196769618799999</v>
      </c>
      <c r="T30" s="550">
        <f t="shared" si="10"/>
        <v>7.1107004470938904</v>
      </c>
      <c r="U30" s="1375">
        <f>'S-curves'!AN15</f>
        <v>2</v>
      </c>
      <c r="W30" s="963">
        <v>2026</v>
      </c>
      <c r="X30" s="491">
        <f t="shared" si="12"/>
        <v>14.880045090909094</v>
      </c>
      <c r="Y30" s="491">
        <f t="shared" si="13"/>
        <v>29.71439533636363</v>
      </c>
      <c r="Z30" s="491">
        <f t="shared" si="14"/>
        <v>21.014351136870889</v>
      </c>
      <c r="AA30" s="491">
        <f t="shared" si="33"/>
        <v>15.71048</v>
      </c>
      <c r="AB30" s="491">
        <f t="shared" si="15"/>
        <v>21.822824520600246</v>
      </c>
      <c r="AC30" s="491">
        <f t="shared" si="34"/>
        <v>10.104760000000001</v>
      </c>
      <c r="AD30" s="491">
        <f t="shared" si="16"/>
        <v>10.615199923766815</v>
      </c>
      <c r="AE30" s="491">
        <f t="shared" si="35"/>
        <v>36.758361999999998</v>
      </c>
      <c r="AF30" s="652">
        <f t="shared" si="17"/>
        <v>51.266766020864381</v>
      </c>
      <c r="AG30" s="549">
        <v>2026</v>
      </c>
      <c r="AH30" s="544">
        <f t="shared" si="19"/>
        <v>2.0638622541090914</v>
      </c>
      <c r="AI30" s="544">
        <f t="shared" si="20"/>
        <v>4.1213866331536355</v>
      </c>
      <c r="AJ30" s="544">
        <f t="shared" si="21"/>
        <v>2.9146905026839924</v>
      </c>
      <c r="AK30" s="544">
        <f t="shared" si="22"/>
        <v>2.1790435759999998</v>
      </c>
      <c r="AL30" s="544">
        <f t="shared" si="23"/>
        <v>3.0268257610072542</v>
      </c>
      <c r="AM30" s="544">
        <f t="shared" si="24"/>
        <v>1.4015302120000002</v>
      </c>
      <c r="AN30" s="544">
        <f t="shared" si="25"/>
        <v>1.472328229426457</v>
      </c>
      <c r="AO30" s="544">
        <f t="shared" si="26"/>
        <v>10.196769618799999</v>
      </c>
      <c r="AP30" s="550">
        <f t="shared" si="27"/>
        <v>7.1107004470938904</v>
      </c>
      <c r="AQ30" s="10"/>
    </row>
    <row r="31" spans="1:52" x14ac:dyDescent="0.2">
      <c r="A31" s="963">
        <v>2027</v>
      </c>
      <c r="B31" s="491">
        <v>19.332518</v>
      </c>
      <c r="C31" s="491">
        <v>28.162009999999999</v>
      </c>
      <c r="D31" s="491">
        <v>22.300404</v>
      </c>
      <c r="E31" s="491">
        <v>15.739540999999999</v>
      </c>
      <c r="F31" s="491">
        <v>22.914766</v>
      </c>
      <c r="G31" s="491">
        <v>10.913876999999999</v>
      </c>
      <c r="H31" s="491">
        <v>12.143967999999999</v>
      </c>
      <c r="I31" s="491">
        <v>37.028300999999999</v>
      </c>
      <c r="J31" s="1311">
        <f t="shared" si="0"/>
        <v>50.372578241430702</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9"/>
        <v>10.2716506974</v>
      </c>
      <c r="T31" s="550">
        <f t="shared" si="10"/>
        <v>6.9866766020864386</v>
      </c>
      <c r="U31" s="1375">
        <f>'S-curves'!AN16</f>
        <v>2</v>
      </c>
      <c r="W31" s="963">
        <v>2027</v>
      </c>
      <c r="X31" s="491">
        <f t="shared" si="12"/>
        <v>15.141552559440562</v>
      </c>
      <c r="Y31" s="491">
        <f t="shared" si="13"/>
        <v>29.954137909090903</v>
      </c>
      <c r="Z31" s="491">
        <f t="shared" si="14"/>
        <v>21.270691712482421</v>
      </c>
      <c r="AA31" s="491">
        <f t="shared" si="33"/>
        <v>15.739540999999999</v>
      </c>
      <c r="AB31" s="491">
        <f t="shared" si="15"/>
        <v>21.877697382026568</v>
      </c>
      <c r="AC31" s="491">
        <f t="shared" si="34"/>
        <v>10.913876999999999</v>
      </c>
      <c r="AD31" s="491">
        <f t="shared" si="16"/>
        <v>10.510250331838563</v>
      </c>
      <c r="AE31" s="491">
        <f t="shared" si="35"/>
        <v>37.028300999999999</v>
      </c>
      <c r="AF31" s="652">
        <f t="shared" si="17"/>
        <v>50.372578241430702</v>
      </c>
      <c r="AG31" s="549">
        <v>2027</v>
      </c>
      <c r="AH31" s="544">
        <f t="shared" si="19"/>
        <v>2.100133339994406</v>
      </c>
      <c r="AI31" s="544">
        <f t="shared" si="20"/>
        <v>4.1546389279909084</v>
      </c>
      <c r="AJ31" s="544">
        <f t="shared" si="21"/>
        <v>2.950244940521312</v>
      </c>
      <c r="AK31" s="544">
        <f t="shared" si="22"/>
        <v>2.1830743366999998</v>
      </c>
      <c r="AL31" s="544">
        <f t="shared" si="23"/>
        <v>3.0344366268870848</v>
      </c>
      <c r="AM31" s="544">
        <f t="shared" si="24"/>
        <v>1.5137547399</v>
      </c>
      <c r="AN31" s="544">
        <f t="shared" si="25"/>
        <v>1.4577717210260088</v>
      </c>
      <c r="AO31" s="544">
        <f t="shared" si="26"/>
        <v>10.2716506974</v>
      </c>
      <c r="AP31" s="550">
        <f t="shared" si="27"/>
        <v>6.9866766020864386</v>
      </c>
      <c r="AQ31" s="10"/>
    </row>
    <row r="32" spans="1:52" x14ac:dyDescent="0.2">
      <c r="A32" s="963">
        <v>2028</v>
      </c>
      <c r="B32" s="491">
        <v>19.533010000000001</v>
      </c>
      <c r="C32" s="491">
        <v>28.425083000000001</v>
      </c>
      <c r="D32" s="491">
        <v>22.412120999999999</v>
      </c>
      <c r="E32" s="491">
        <v>16.214652999999998</v>
      </c>
      <c r="F32" s="491">
        <v>23.266224000000001</v>
      </c>
      <c r="G32" s="491">
        <v>11.290391</v>
      </c>
      <c r="H32" s="491">
        <v>11.942882000000001</v>
      </c>
      <c r="I32" s="491">
        <v>36.980328</v>
      </c>
      <c r="J32" s="1311">
        <f t="shared" si="0"/>
        <v>49.478390461997016</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9"/>
        <v>10.258342987199999</v>
      </c>
      <c r="T32" s="550">
        <f t="shared" si="10"/>
        <v>6.8626527570789859</v>
      </c>
      <c r="U32" s="1375">
        <f>'S-curves'!AN17</f>
        <v>2</v>
      </c>
      <c r="W32" s="963">
        <v>2028</v>
      </c>
      <c r="X32" s="491">
        <f t="shared" si="12"/>
        <v>15.298581258741262</v>
      </c>
      <c r="Y32" s="491">
        <f t="shared" si="13"/>
        <v>30.233951918181816</v>
      </c>
      <c r="Z32" s="491">
        <f t="shared" si="14"/>
        <v>21.377250224428813</v>
      </c>
      <c r="AA32" s="491">
        <f t="shared" si="33"/>
        <v>16.214652999999998</v>
      </c>
      <c r="AB32" s="491">
        <f t="shared" si="15"/>
        <v>22.213249216441646</v>
      </c>
      <c r="AC32" s="491">
        <f t="shared" si="34"/>
        <v>11.290391</v>
      </c>
      <c r="AD32" s="491">
        <f t="shared" si="16"/>
        <v>10.336216260089687</v>
      </c>
      <c r="AE32" s="491">
        <f t="shared" si="35"/>
        <v>36.980328</v>
      </c>
      <c r="AF32" s="652">
        <f t="shared" si="17"/>
        <v>49.478390461997016</v>
      </c>
      <c r="AG32" s="549">
        <v>2028</v>
      </c>
      <c r="AH32" s="544">
        <f t="shared" si="19"/>
        <v>2.1219132205874129</v>
      </c>
      <c r="AI32" s="544">
        <f t="shared" si="20"/>
        <v>4.1934491310518176</v>
      </c>
      <c r="AJ32" s="544">
        <f t="shared" si="21"/>
        <v>2.9650246061282761</v>
      </c>
      <c r="AK32" s="544">
        <f t="shared" si="22"/>
        <v>2.2489723710999998</v>
      </c>
      <c r="AL32" s="544">
        <f t="shared" si="23"/>
        <v>3.080977666320456</v>
      </c>
      <c r="AM32" s="544">
        <f t="shared" si="24"/>
        <v>1.5659772316999998</v>
      </c>
      <c r="AN32" s="544">
        <f t="shared" si="25"/>
        <v>1.4336331952744397</v>
      </c>
      <c r="AO32" s="544">
        <f t="shared" si="26"/>
        <v>10.258342987199999</v>
      </c>
      <c r="AP32" s="550">
        <f t="shared" si="27"/>
        <v>6.8626527570789859</v>
      </c>
      <c r="AQ32" s="10"/>
    </row>
    <row r="33" spans="1:43" x14ac:dyDescent="0.2">
      <c r="A33" s="963">
        <v>2029</v>
      </c>
      <c r="B33" s="491">
        <v>19.624012</v>
      </c>
      <c r="C33" s="491">
        <v>28.713608000000001</v>
      </c>
      <c r="D33" s="491">
        <v>22.707564999999999</v>
      </c>
      <c r="E33" s="491">
        <v>16.425370999999998</v>
      </c>
      <c r="F33" s="491">
        <v>23.483311</v>
      </c>
      <c r="G33" s="491">
        <v>11.574986000000001</v>
      </c>
      <c r="H33" s="491">
        <v>11.674177</v>
      </c>
      <c r="I33" s="491">
        <v>36.851902000000003</v>
      </c>
      <c r="J33" s="1311">
        <f t="shared" si="0"/>
        <v>48.584202682563337</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9"/>
        <v>10.222717614800001</v>
      </c>
      <c r="T33" s="550">
        <f t="shared" si="10"/>
        <v>6.7386289120715341</v>
      </c>
      <c r="U33" s="1375">
        <f>'S-curves'!AN18</f>
        <v>2</v>
      </c>
      <c r="W33" s="963">
        <v>2029</v>
      </c>
      <c r="X33" s="491">
        <f t="shared" si="12"/>
        <v>15.369855552447556</v>
      </c>
      <c r="Y33" s="491">
        <f t="shared" si="13"/>
        <v>30.540837599999996</v>
      </c>
      <c r="Z33" s="491">
        <f t="shared" si="14"/>
        <v>21.659052215204525</v>
      </c>
      <c r="AA33" s="491">
        <f t="shared" si="33"/>
        <v>16.425370999999998</v>
      </c>
      <c r="AB33" s="491">
        <f t="shared" si="15"/>
        <v>22.42051136747439</v>
      </c>
      <c r="AC33" s="491">
        <f t="shared" si="34"/>
        <v>11.574986000000001</v>
      </c>
      <c r="AD33" s="491">
        <f t="shared" si="16"/>
        <v>10.103659914798206</v>
      </c>
      <c r="AE33" s="491">
        <f t="shared" si="35"/>
        <v>36.851902000000003</v>
      </c>
      <c r="AF33" s="652">
        <f t="shared" si="17"/>
        <v>48.584202682563337</v>
      </c>
      <c r="AG33" s="549">
        <v>2029</v>
      </c>
      <c r="AH33" s="544">
        <f t="shared" si="19"/>
        <v>2.1317989651244758</v>
      </c>
      <c r="AI33" s="544">
        <f t="shared" si="20"/>
        <v>4.2360141751200002</v>
      </c>
      <c r="AJ33" s="544">
        <f t="shared" si="21"/>
        <v>3.0041105422488674</v>
      </c>
      <c r="AK33" s="544">
        <f t="shared" si="22"/>
        <v>2.2781989576999995</v>
      </c>
      <c r="AL33" s="544">
        <f t="shared" si="23"/>
        <v>3.1097249266686982</v>
      </c>
      <c r="AM33" s="544">
        <f t="shared" si="24"/>
        <v>1.6054505582</v>
      </c>
      <c r="AN33" s="544">
        <f t="shared" si="25"/>
        <v>1.4013776301825112</v>
      </c>
      <c r="AO33" s="544">
        <f t="shared" si="26"/>
        <v>10.222717614800001</v>
      </c>
      <c r="AP33" s="550">
        <f t="shared" si="27"/>
        <v>6.7386289120715341</v>
      </c>
      <c r="AQ33" s="10"/>
    </row>
    <row r="34" spans="1:43" x14ac:dyDescent="0.2">
      <c r="A34" s="964">
        <v>2030</v>
      </c>
      <c r="B34" s="491">
        <v>20.097501999999999</v>
      </c>
      <c r="C34" s="491">
        <v>30.057896</v>
      </c>
      <c r="D34" s="491">
        <v>23.410488000000001</v>
      </c>
      <c r="E34" s="491">
        <v>16.664819999999999</v>
      </c>
      <c r="F34" s="491">
        <v>23.973053</v>
      </c>
      <c r="G34" s="491">
        <v>11.016311</v>
      </c>
      <c r="H34" s="491">
        <v>12.097020000000001</v>
      </c>
      <c r="I34" s="491">
        <v>36.703060000000001</v>
      </c>
      <c r="J34" s="1311">
        <f t="shared" si="0"/>
        <v>47.690014903129651</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9"/>
        <v>10.181428844000001</v>
      </c>
      <c r="T34" s="552">
        <f t="shared" si="10"/>
        <v>6.6146050670640824</v>
      </c>
      <c r="U34" s="1375">
        <f>'S-curves'!AN19</f>
        <v>2</v>
      </c>
      <c r="W34" s="964">
        <v>2030</v>
      </c>
      <c r="X34" s="491">
        <f t="shared" si="12"/>
        <v>15.740700867132869</v>
      </c>
      <c r="Y34" s="491">
        <f t="shared" si="13"/>
        <v>31.970671199999995</v>
      </c>
      <c r="Z34" s="491">
        <f t="shared" si="14"/>
        <v>22.329518025178789</v>
      </c>
      <c r="AA34" s="491">
        <f t="shared" si="33"/>
        <v>16.664819999999999</v>
      </c>
      <c r="AB34" s="491">
        <f t="shared" si="15"/>
        <v>22.888088792060287</v>
      </c>
      <c r="AC34" s="491">
        <f t="shared" si="34"/>
        <v>11.016311</v>
      </c>
      <c r="AD34" s="491">
        <f t="shared" si="16"/>
        <v>10.469618206278026</v>
      </c>
      <c r="AE34" s="491">
        <f t="shared" si="35"/>
        <v>36.703060000000001</v>
      </c>
      <c r="AF34" s="652">
        <f t="shared" si="17"/>
        <v>47.690014903129651</v>
      </c>
      <c r="AG34" s="551">
        <v>2030</v>
      </c>
      <c r="AH34" s="545">
        <f t="shared" si="19"/>
        <v>2.1832352102713291</v>
      </c>
      <c r="AI34" s="545">
        <f t="shared" si="20"/>
        <v>4.4343320954399994</v>
      </c>
      <c r="AJ34" s="545">
        <f t="shared" si="21"/>
        <v>3.097104150092298</v>
      </c>
      <c r="AK34" s="545">
        <f t="shared" si="22"/>
        <v>2.3114105340000002</v>
      </c>
      <c r="AL34" s="545">
        <f t="shared" si="23"/>
        <v>3.1745779154587619</v>
      </c>
      <c r="AM34" s="545">
        <f t="shared" si="24"/>
        <v>1.5279623356999998</v>
      </c>
      <c r="AN34" s="545">
        <f t="shared" si="25"/>
        <v>1.4521360452107621</v>
      </c>
      <c r="AO34" s="545">
        <f t="shared" si="26"/>
        <v>10.181428844000001</v>
      </c>
      <c r="AP34" s="552">
        <f t="shared" si="27"/>
        <v>6.6146050670640824</v>
      </c>
      <c r="AQ34" s="10"/>
    </row>
    <row r="35" spans="1:43" x14ac:dyDescent="0.2">
      <c r="A35" s="963">
        <v>2031</v>
      </c>
      <c r="B35" s="491">
        <v>20.105340999999999</v>
      </c>
      <c r="C35" s="491">
        <v>30.388204999999999</v>
      </c>
      <c r="D35" s="491">
        <v>23.573322000000001</v>
      </c>
      <c r="E35" s="491">
        <v>17.012841999999999</v>
      </c>
      <c r="F35" s="491">
        <v>24.241781</v>
      </c>
      <c r="G35" s="491">
        <v>11.238101</v>
      </c>
      <c r="H35" s="491">
        <v>11.824804</v>
      </c>
      <c r="I35" s="491">
        <v>36.648471999999998</v>
      </c>
      <c r="J35" s="1311">
        <f t="shared" si="0"/>
        <v>46.795827123695972</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9"/>
        <v>10.1662861328</v>
      </c>
      <c r="T35" s="550">
        <f t="shared" si="10"/>
        <v>6.4905812220566306</v>
      </c>
      <c r="U35" s="1375">
        <f>'S-curves'!AN20</f>
        <v>2</v>
      </c>
      <c r="W35" s="963">
        <v>2031</v>
      </c>
      <c r="X35" s="491">
        <f t="shared" si="12"/>
        <v>15.746840503496506</v>
      </c>
      <c r="Y35" s="491">
        <f t="shared" si="13"/>
        <v>32.321999863636357</v>
      </c>
      <c r="Z35" s="491">
        <f t="shared" si="14"/>
        <v>22.484833229975543</v>
      </c>
      <c r="AA35" s="491">
        <f t="shared" si="33"/>
        <v>17.012841999999999</v>
      </c>
      <c r="AB35" s="491">
        <f t="shared" si="15"/>
        <v>23.144654792432153</v>
      </c>
      <c r="AC35" s="491">
        <f t="shared" si="34"/>
        <v>11.238101</v>
      </c>
      <c r="AD35" s="491">
        <f t="shared" si="16"/>
        <v>10.234023192825111</v>
      </c>
      <c r="AE35" s="491">
        <f t="shared" si="35"/>
        <v>36.648471999999998</v>
      </c>
      <c r="AF35" s="652">
        <f t="shared" si="17"/>
        <v>46.795827123695972</v>
      </c>
      <c r="AG35" s="549">
        <v>2031</v>
      </c>
      <c r="AH35" s="544">
        <f t="shared" si="19"/>
        <v>2.1840867778349655</v>
      </c>
      <c r="AI35" s="544">
        <f t="shared" si="20"/>
        <v>4.4830613810863627</v>
      </c>
      <c r="AJ35" s="544">
        <f t="shared" si="21"/>
        <v>3.1186463689976081</v>
      </c>
      <c r="AK35" s="544">
        <f t="shared" si="22"/>
        <v>2.3596811853999999</v>
      </c>
      <c r="AL35" s="544">
        <f t="shared" si="23"/>
        <v>3.2101636197103396</v>
      </c>
      <c r="AM35" s="544">
        <f t="shared" si="24"/>
        <v>1.5587246087</v>
      </c>
      <c r="AN35" s="544">
        <f t="shared" si="25"/>
        <v>1.4194590168448429</v>
      </c>
      <c r="AO35" s="544">
        <f t="shared" si="26"/>
        <v>10.1662861328</v>
      </c>
      <c r="AP35" s="550">
        <f t="shared" si="27"/>
        <v>6.4905812220566306</v>
      </c>
      <c r="AQ35" s="10"/>
    </row>
    <row r="36" spans="1:43" x14ac:dyDescent="0.2">
      <c r="A36" s="963">
        <v>2032</v>
      </c>
      <c r="B36" s="491">
        <v>20.179995000000002</v>
      </c>
      <c r="C36" s="491">
        <v>30.548780000000001</v>
      </c>
      <c r="D36" s="491">
        <v>23.781666000000001</v>
      </c>
      <c r="E36" s="491">
        <v>17.187419999999999</v>
      </c>
      <c r="F36" s="491">
        <v>24.417619999999999</v>
      </c>
      <c r="G36" s="491">
        <v>11.303734</v>
      </c>
      <c r="H36" s="491">
        <v>11.655065</v>
      </c>
      <c r="I36" s="491">
        <v>36.629832999999998</v>
      </c>
      <c r="J36" s="1311">
        <f t="shared" si="0"/>
        <v>45.901639344262293</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9"/>
        <v>10.1611156742</v>
      </c>
      <c r="T36" s="550">
        <f t="shared" si="10"/>
        <v>6.3665573770491797</v>
      </c>
      <c r="U36" s="1375">
        <f>'S-curves'!AN21</f>
        <v>2</v>
      </c>
      <c r="W36" s="963">
        <v>2032</v>
      </c>
      <c r="X36" s="491">
        <f t="shared" si="12"/>
        <v>15.805310769230774</v>
      </c>
      <c r="Y36" s="491">
        <f t="shared" si="13"/>
        <v>32.492793272727269</v>
      </c>
      <c r="Z36" s="491">
        <f t="shared" si="14"/>
        <v>22.683557028618182</v>
      </c>
      <c r="AA36" s="491">
        <f t="shared" si="33"/>
        <v>17.187419999999999</v>
      </c>
      <c r="AB36" s="491">
        <f t="shared" si="15"/>
        <v>23.31253573129743</v>
      </c>
      <c r="AC36" s="491">
        <f t="shared" si="34"/>
        <v>11.303734</v>
      </c>
      <c r="AD36" s="491">
        <f t="shared" si="16"/>
        <v>10.087119035874439</v>
      </c>
      <c r="AE36" s="491">
        <f t="shared" si="35"/>
        <v>36.629832999999998</v>
      </c>
      <c r="AF36" s="652">
        <f t="shared" si="17"/>
        <v>45.901639344262293</v>
      </c>
      <c r="AG36" s="549">
        <v>2032</v>
      </c>
      <c r="AH36" s="544">
        <f t="shared" si="19"/>
        <v>2.1921966036923086</v>
      </c>
      <c r="AI36" s="544">
        <f t="shared" si="20"/>
        <v>4.5067504269272725</v>
      </c>
      <c r="AJ36" s="544">
        <f t="shared" si="21"/>
        <v>3.1462093598693417</v>
      </c>
      <c r="AK36" s="544">
        <f t="shared" si="22"/>
        <v>2.3838951540000002</v>
      </c>
      <c r="AL36" s="544">
        <f t="shared" si="23"/>
        <v>3.2334487059309533</v>
      </c>
      <c r="AM36" s="544">
        <f t="shared" si="24"/>
        <v>1.5678279058</v>
      </c>
      <c r="AN36" s="544">
        <f t="shared" si="25"/>
        <v>1.3990834102757848</v>
      </c>
      <c r="AO36" s="544">
        <f t="shared" si="26"/>
        <v>10.1611156742</v>
      </c>
      <c r="AP36" s="550">
        <f t="shared" si="27"/>
        <v>6.3665573770491797</v>
      </c>
      <c r="AQ36" s="10"/>
    </row>
    <row r="37" spans="1:43" x14ac:dyDescent="0.2">
      <c r="A37" s="963">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1">
        <f t="shared" si="0"/>
        <v>45.007451564828607</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9"/>
        <v>10.216654205600001</v>
      </c>
      <c r="T37" s="550">
        <f t="shared" si="10"/>
        <v>6.2425335320417279</v>
      </c>
      <c r="U37" s="1375">
        <f>'S-curves'!AN22</f>
        <v>2</v>
      </c>
      <c r="W37" s="963">
        <v>2033</v>
      </c>
      <c r="X37" s="491">
        <f t="shared" si="12"/>
        <v>16.05212900699301</v>
      </c>
      <c r="Y37" s="491">
        <f t="shared" si="13"/>
        <v>33.194531618181813</v>
      </c>
      <c r="Z37" s="491">
        <f t="shared" si="14"/>
        <v>23.086776223384476</v>
      </c>
      <c r="AA37" s="491">
        <f t="shared" si="33"/>
        <v>17.583839000000001</v>
      </c>
      <c r="AB37" s="491">
        <f t="shared" si="15"/>
        <v>23.687610079746754</v>
      </c>
      <c r="AC37" s="491">
        <f t="shared" si="34"/>
        <v>11.559741000000001</v>
      </c>
      <c r="AD37" s="491">
        <f t="shared" si="16"/>
        <v>10.084421363228699</v>
      </c>
      <c r="AE37" s="491">
        <f t="shared" si="35"/>
        <v>36.830044000000001</v>
      </c>
      <c r="AF37" s="652">
        <f t="shared" si="17"/>
        <v>45.007451564828607</v>
      </c>
      <c r="AG37" s="549">
        <v>2033</v>
      </c>
      <c r="AH37" s="544">
        <f t="shared" si="19"/>
        <v>2.2264302932699302</v>
      </c>
      <c r="AI37" s="544">
        <f t="shared" si="20"/>
        <v>4.6040815354418179</v>
      </c>
      <c r="AJ37" s="544">
        <f t="shared" si="21"/>
        <v>3.2021358621834271</v>
      </c>
      <c r="AK37" s="544">
        <f t="shared" si="22"/>
        <v>2.4388784693000001</v>
      </c>
      <c r="AL37" s="544">
        <f t="shared" si="23"/>
        <v>3.2854715180608745</v>
      </c>
      <c r="AM37" s="544">
        <f t="shared" si="24"/>
        <v>1.6033360767</v>
      </c>
      <c r="AN37" s="544">
        <f t="shared" si="25"/>
        <v>1.3987092430798207</v>
      </c>
      <c r="AO37" s="544">
        <f t="shared" si="26"/>
        <v>10.216654205600001</v>
      </c>
      <c r="AP37" s="550">
        <f t="shared" si="27"/>
        <v>6.2425335320417279</v>
      </c>
      <c r="AQ37" s="10"/>
    </row>
    <row r="38" spans="1:43" x14ac:dyDescent="0.2">
      <c r="A38" s="963">
        <v>2034</v>
      </c>
      <c r="B38" s="491">
        <v>20.705454</v>
      </c>
      <c r="C38" s="491">
        <v>31.695506999999999</v>
      </c>
      <c r="D38" s="491">
        <v>24.592258000000001</v>
      </c>
      <c r="E38" s="491">
        <v>17.868292</v>
      </c>
      <c r="F38" s="491">
        <v>25.010679</v>
      </c>
      <c r="G38" s="491">
        <v>11.693218</v>
      </c>
      <c r="H38" s="491">
        <v>11.562685999999999</v>
      </c>
      <c r="I38" s="491">
        <v>36.911639999999998</v>
      </c>
      <c r="J38" s="1311">
        <f t="shared" si="0"/>
        <v>44.113263785394928</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9"/>
        <v>10.239288935999999</v>
      </c>
      <c r="T38" s="550">
        <f t="shared" si="10"/>
        <v>6.1185096870342761</v>
      </c>
      <c r="U38" s="1375">
        <f>'S-curves'!AN23</f>
        <v>2</v>
      </c>
      <c r="W38" s="963">
        <v>2034</v>
      </c>
      <c r="X38" s="491">
        <f t="shared" si="12"/>
        <v>16.216859076923079</v>
      </c>
      <c r="Y38" s="491">
        <f t="shared" si="13"/>
        <v>33.712493809090901</v>
      </c>
      <c r="Z38" s="491">
        <f t="shared" si="14"/>
        <v>23.456720265329253</v>
      </c>
      <c r="AA38" s="491">
        <f t="shared" si="33"/>
        <v>17.868292</v>
      </c>
      <c r="AB38" s="491">
        <f t="shared" si="15"/>
        <v>23.878754270543578</v>
      </c>
      <c r="AC38" s="491">
        <f t="shared" si="34"/>
        <v>11.693218</v>
      </c>
      <c r="AD38" s="491">
        <f t="shared" si="16"/>
        <v>10.007167704035874</v>
      </c>
      <c r="AE38" s="491">
        <f t="shared" si="35"/>
        <v>36.911639999999998</v>
      </c>
      <c r="AF38" s="652">
        <f t="shared" si="17"/>
        <v>44.113263785394928</v>
      </c>
      <c r="AG38" s="549">
        <v>2034</v>
      </c>
      <c r="AH38" s="544">
        <f t="shared" si="19"/>
        <v>2.2492783539692311</v>
      </c>
      <c r="AI38" s="544">
        <f t="shared" si="20"/>
        <v>4.6759228913209085</v>
      </c>
      <c r="AJ38" s="544">
        <f t="shared" si="21"/>
        <v>3.2534471008011674</v>
      </c>
      <c r="AK38" s="544">
        <f t="shared" si="22"/>
        <v>2.4783321003999998</v>
      </c>
      <c r="AL38" s="544">
        <f t="shared" si="23"/>
        <v>3.3119832173243942</v>
      </c>
      <c r="AM38" s="544">
        <f t="shared" si="24"/>
        <v>1.6218493366</v>
      </c>
      <c r="AN38" s="544">
        <f t="shared" si="25"/>
        <v>1.3879941605497756</v>
      </c>
      <c r="AO38" s="544">
        <f t="shared" si="26"/>
        <v>10.239288935999999</v>
      </c>
      <c r="AP38" s="550">
        <f t="shared" si="27"/>
        <v>6.1185096870342761</v>
      </c>
      <c r="AQ38" s="10"/>
    </row>
    <row r="39" spans="1:43" x14ac:dyDescent="0.2">
      <c r="A39" s="964">
        <v>2035</v>
      </c>
      <c r="B39" s="491">
        <v>20.923535999999999</v>
      </c>
      <c r="C39" s="491">
        <v>32.776066</v>
      </c>
      <c r="D39" s="491">
        <v>24.848427000000001</v>
      </c>
      <c r="E39" s="491">
        <v>18.138349999999999</v>
      </c>
      <c r="F39" s="491">
        <v>25.234774000000002</v>
      </c>
      <c r="G39" s="491">
        <v>12.392016999999999</v>
      </c>
      <c r="H39" s="491">
        <v>11.455206</v>
      </c>
      <c r="I39" s="491">
        <v>36.571807999999997</v>
      </c>
      <c r="J39" s="1311">
        <f t="shared" si="0"/>
        <v>43.219076005961242</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9"/>
        <v>10.145019539199998</v>
      </c>
      <c r="T39" s="552">
        <f t="shared" si="10"/>
        <v>5.9944858420268243</v>
      </c>
      <c r="U39" s="1375">
        <f>'S-curves'!AN24</f>
        <v>2</v>
      </c>
      <c r="W39" s="964">
        <v>2035</v>
      </c>
      <c r="X39" s="491">
        <f t="shared" si="12"/>
        <v>16.387664559440562</v>
      </c>
      <c r="Y39" s="491">
        <f t="shared" si="13"/>
        <v>34.861815654545453</v>
      </c>
      <c r="Z39" s="491">
        <f t="shared" si="14"/>
        <v>23.70106076361327</v>
      </c>
      <c r="AA39" s="491">
        <f t="shared" si="33"/>
        <v>18.138349999999999</v>
      </c>
      <c r="AB39" s="491">
        <f t="shared" si="15"/>
        <v>24.092707255916647</v>
      </c>
      <c r="AC39" s="491">
        <f t="shared" si="34"/>
        <v>12.392016999999999</v>
      </c>
      <c r="AD39" s="491">
        <f t="shared" si="16"/>
        <v>9.914146896860986</v>
      </c>
      <c r="AE39" s="491">
        <f t="shared" si="35"/>
        <v>36.571807999999997</v>
      </c>
      <c r="AF39" s="652">
        <f t="shared" si="17"/>
        <v>43.219076005961242</v>
      </c>
      <c r="AG39" s="551">
        <v>2035</v>
      </c>
      <c r="AH39" s="545">
        <f t="shared" si="19"/>
        <v>2.272969074394406</v>
      </c>
      <c r="AI39" s="545">
        <f t="shared" si="20"/>
        <v>4.8353338312854541</v>
      </c>
      <c r="AJ39" s="545">
        <f t="shared" si="21"/>
        <v>3.2873371279131609</v>
      </c>
      <c r="AK39" s="545">
        <f t="shared" si="22"/>
        <v>2.5157891449999998</v>
      </c>
      <c r="AL39" s="545">
        <f t="shared" si="23"/>
        <v>3.3416584963956391</v>
      </c>
      <c r="AM39" s="545">
        <f t="shared" si="24"/>
        <v>1.7187727578999998</v>
      </c>
      <c r="AN39" s="545">
        <f t="shared" si="25"/>
        <v>1.3750921745946187</v>
      </c>
      <c r="AO39" s="545">
        <f t="shared" si="26"/>
        <v>10.145019539199998</v>
      </c>
      <c r="AP39" s="552">
        <f t="shared" si="27"/>
        <v>5.9944858420268243</v>
      </c>
      <c r="AQ39" s="10"/>
    </row>
    <row r="40" spans="1:43" x14ac:dyDescent="0.2">
      <c r="A40" s="963">
        <v>2036</v>
      </c>
      <c r="B40" s="491">
        <v>21.173369999999998</v>
      </c>
      <c r="C40" s="491">
        <v>32.661560000000001</v>
      </c>
      <c r="D40" s="491">
        <v>25.145551999999999</v>
      </c>
      <c r="E40" s="491">
        <v>18.383088999999998</v>
      </c>
      <c r="F40" s="491">
        <v>25.49099</v>
      </c>
      <c r="G40" s="491">
        <v>12.827140999999999</v>
      </c>
      <c r="H40" s="491">
        <v>11.366446</v>
      </c>
      <c r="I40" s="491">
        <v>36.300902999999998</v>
      </c>
      <c r="J40" s="1311">
        <f t="shared" si="0"/>
        <v>42.324888226527563</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9"/>
        <v>10.069103147044721</v>
      </c>
      <c r="T40" s="550">
        <f t="shared" si="10"/>
        <v>5.8704619970193725</v>
      </c>
      <c r="U40" s="1375">
        <f>'S-curves'!AN25</f>
        <v>1.9998475958244206</v>
      </c>
      <c r="W40" s="963">
        <v>2036</v>
      </c>
      <c r="X40" s="491">
        <f t="shared" si="12"/>
        <v>16.583338741258743</v>
      </c>
      <c r="Y40" s="491">
        <f t="shared" si="13"/>
        <v>34.740022909090904</v>
      </c>
      <c r="Z40" s="491">
        <f t="shared" si="14"/>
        <v>23.984466134882386</v>
      </c>
      <c r="AA40" s="491">
        <f t="shared" si="33"/>
        <v>18.383088999999998</v>
      </c>
      <c r="AB40" s="491">
        <f t="shared" si="15"/>
        <v>24.337327520091865</v>
      </c>
      <c r="AC40" s="491">
        <f t="shared" si="34"/>
        <v>12.827140999999999</v>
      </c>
      <c r="AD40" s="491">
        <f t="shared" si="16"/>
        <v>9.8373277040358733</v>
      </c>
      <c r="AE40" s="491">
        <f t="shared" si="35"/>
        <v>36.300902999999998</v>
      </c>
      <c r="AF40" s="652">
        <f t="shared" si="17"/>
        <v>42.324888226527563</v>
      </c>
      <c r="AG40" s="549">
        <v>2036</v>
      </c>
      <c r="AH40" s="544">
        <f t="shared" si="19"/>
        <v>2.3001090834125875</v>
      </c>
      <c r="AI40" s="544">
        <f t="shared" si="20"/>
        <v>4.8184411774909091</v>
      </c>
      <c r="AJ40" s="544">
        <f t="shared" si="21"/>
        <v>3.3266454529081866</v>
      </c>
      <c r="AK40" s="544">
        <f t="shared" si="22"/>
        <v>2.5497344442999994</v>
      </c>
      <c r="AL40" s="544">
        <f t="shared" si="23"/>
        <v>3.3755873270367416</v>
      </c>
      <c r="AM40" s="544">
        <f t="shared" si="24"/>
        <v>1.7791244567</v>
      </c>
      <c r="AN40" s="544">
        <f t="shared" si="25"/>
        <v>1.3644373525497757</v>
      </c>
      <c r="AO40" s="544">
        <f t="shared" si="26"/>
        <v>10.069103147044721</v>
      </c>
      <c r="AP40" s="550">
        <f t="shared" si="27"/>
        <v>5.8704619970193725</v>
      </c>
      <c r="AQ40" s="10"/>
    </row>
    <row r="41" spans="1:43" x14ac:dyDescent="0.2">
      <c r="A41" s="963">
        <v>2037</v>
      </c>
      <c r="B41" s="491">
        <v>21.440998</v>
      </c>
      <c r="C41" s="491">
        <v>32.834831000000001</v>
      </c>
      <c r="D41" s="491">
        <v>25.222816000000002</v>
      </c>
      <c r="E41" s="491">
        <v>18.624289999999998</v>
      </c>
      <c r="F41" s="491">
        <v>25.664202</v>
      </c>
      <c r="G41" s="491">
        <v>12.921616999999999</v>
      </c>
      <c r="H41" s="491">
        <v>11.344866</v>
      </c>
      <c r="I41" s="491">
        <v>36.140179000000003</v>
      </c>
      <c r="J41" s="1311">
        <f t="shared" si="0"/>
        <v>41.430700447093884</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9"/>
        <v>10.013076452965333</v>
      </c>
      <c r="T41" s="550">
        <f t="shared" si="10"/>
        <v>5.7464381520119217</v>
      </c>
      <c r="U41" s="1375">
        <f>'S-curves'!AN26</f>
        <v>1.997564318453297</v>
      </c>
      <c r="W41" s="963">
        <v>2037</v>
      </c>
      <c r="X41" s="491">
        <f t="shared" si="12"/>
        <v>16.792949482517486</v>
      </c>
      <c r="Y41" s="491">
        <f t="shared" si="13"/>
        <v>34.924320245454545</v>
      </c>
      <c r="Z41" s="491">
        <f t="shared" si="14"/>
        <v>24.058162500404432</v>
      </c>
      <c r="AA41" s="491">
        <f t="shared" si="33"/>
        <v>18.624289999999998</v>
      </c>
      <c r="AB41" s="491">
        <f t="shared" si="15"/>
        <v>24.502700350821865</v>
      </c>
      <c r="AC41" s="491">
        <f t="shared" si="34"/>
        <v>12.921616999999999</v>
      </c>
      <c r="AD41" s="491">
        <f t="shared" si="16"/>
        <v>9.8186508430493262</v>
      </c>
      <c r="AE41" s="491">
        <f t="shared" si="35"/>
        <v>36.140179000000003</v>
      </c>
      <c r="AF41" s="652">
        <f t="shared" si="17"/>
        <v>41.430700447093884</v>
      </c>
      <c r="AG41" s="549">
        <v>2037</v>
      </c>
      <c r="AH41" s="544">
        <f t="shared" si="19"/>
        <v>2.329182093225175</v>
      </c>
      <c r="AI41" s="544">
        <f t="shared" si="20"/>
        <v>4.8440032180445458</v>
      </c>
      <c r="AJ41" s="544">
        <f t="shared" si="21"/>
        <v>3.3368671388060949</v>
      </c>
      <c r="AK41" s="544">
        <f t="shared" si="22"/>
        <v>2.5831890229999996</v>
      </c>
      <c r="AL41" s="544">
        <f t="shared" si="23"/>
        <v>3.3985245386589931</v>
      </c>
      <c r="AM41" s="544">
        <f t="shared" si="24"/>
        <v>1.7922282778999998</v>
      </c>
      <c r="AN41" s="544">
        <f t="shared" si="25"/>
        <v>1.3618468719309416</v>
      </c>
      <c r="AO41" s="544">
        <f t="shared" si="26"/>
        <v>10.013076452965333</v>
      </c>
      <c r="AP41" s="550">
        <f t="shared" si="27"/>
        <v>5.7464381520119217</v>
      </c>
      <c r="AQ41" s="10"/>
    </row>
    <row r="42" spans="1:43" x14ac:dyDescent="0.2">
      <c r="A42" s="963">
        <v>2038</v>
      </c>
      <c r="B42" s="491">
        <v>21.689045</v>
      </c>
      <c r="C42" s="491">
        <v>33.766201000000002</v>
      </c>
      <c r="D42" s="491">
        <v>25.499110999999999</v>
      </c>
      <c r="E42" s="491">
        <v>18.83005</v>
      </c>
      <c r="F42" s="491">
        <v>25.881091999999999</v>
      </c>
      <c r="G42" s="491">
        <v>13.491559000000001</v>
      </c>
      <c r="H42" s="491">
        <v>11.310649</v>
      </c>
      <c r="I42" s="491">
        <v>36.026969999999999</v>
      </c>
      <c r="J42" s="1311">
        <f t="shared" si="0"/>
        <v>40.536512667660197</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9"/>
        <v>9.932570095649</v>
      </c>
      <c r="T42" s="550">
        <f t="shared" si="10"/>
        <v>5.6224143070044699</v>
      </c>
      <c r="U42" s="1375">
        <f>'S-curves'!AN27</f>
        <v>1.9877302162356105</v>
      </c>
      <c r="W42" s="963">
        <v>2038</v>
      </c>
      <c r="X42" s="491">
        <f t="shared" si="12"/>
        <v>16.987224055944058</v>
      </c>
      <c r="Y42" s="491">
        <f t="shared" si="13"/>
        <v>35.91495924545454</v>
      </c>
      <c r="Z42" s="491">
        <f t="shared" si="14"/>
        <v>24.321699688641036</v>
      </c>
      <c r="AA42" s="491">
        <f t="shared" si="33"/>
        <v>18.83005</v>
      </c>
      <c r="AB42" s="491">
        <f t="shared" si="15"/>
        <v>24.709774417613023</v>
      </c>
      <c r="AC42" s="491">
        <f t="shared" si="34"/>
        <v>13.491559000000001</v>
      </c>
      <c r="AD42" s="491">
        <f t="shared" si="16"/>
        <v>9.7890370269058291</v>
      </c>
      <c r="AE42" s="491">
        <f t="shared" si="35"/>
        <v>36.026969999999999</v>
      </c>
      <c r="AF42" s="652">
        <f t="shared" si="17"/>
        <v>40.536512667660197</v>
      </c>
      <c r="AG42" s="549">
        <v>2038</v>
      </c>
      <c r="AH42" s="544">
        <f t="shared" si="19"/>
        <v>2.3561279765594407</v>
      </c>
      <c r="AI42" s="544">
        <f t="shared" si="20"/>
        <v>4.9814048473445451</v>
      </c>
      <c r="AJ42" s="544">
        <f t="shared" si="21"/>
        <v>3.3734197468145117</v>
      </c>
      <c r="AK42" s="544">
        <f t="shared" si="22"/>
        <v>2.6117279350000002</v>
      </c>
      <c r="AL42" s="544">
        <f t="shared" si="23"/>
        <v>3.427245711722926</v>
      </c>
      <c r="AM42" s="544">
        <f t="shared" si="24"/>
        <v>1.8712792332999999</v>
      </c>
      <c r="AN42" s="544">
        <f t="shared" si="25"/>
        <v>1.3577394356318384</v>
      </c>
      <c r="AO42" s="544">
        <f t="shared" si="26"/>
        <v>9.932570095649</v>
      </c>
      <c r="AP42" s="550">
        <f t="shared" si="27"/>
        <v>5.6224143070044699</v>
      </c>
      <c r="AQ42" s="10"/>
    </row>
    <row r="43" spans="1:43" x14ac:dyDescent="0.2">
      <c r="A43" s="963">
        <v>2039</v>
      </c>
      <c r="B43" s="491">
        <v>21.912479000000001</v>
      </c>
      <c r="C43" s="491">
        <v>34.771796999999999</v>
      </c>
      <c r="D43" s="491">
        <v>25.840990000000001</v>
      </c>
      <c r="E43" s="491">
        <v>19.106794000000001</v>
      </c>
      <c r="F43" s="491">
        <v>26.103442999999999</v>
      </c>
      <c r="G43" s="491">
        <v>13.652015</v>
      </c>
      <c r="H43" s="491">
        <v>11.269885</v>
      </c>
      <c r="I43" s="491">
        <v>35.831085000000002</v>
      </c>
      <c r="J43" s="1311">
        <f t="shared" si="0"/>
        <v>39.642324888226511</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9"/>
        <v>9.7493645962684727</v>
      </c>
      <c r="T43" s="550">
        <f t="shared" si="10"/>
        <v>5.4983904619970172</v>
      </c>
      <c r="U43" s="1375">
        <f>'S-curves'!AN28</f>
        <v>1.9617329724046002</v>
      </c>
      <c r="W43" s="963">
        <v>2039</v>
      </c>
      <c r="X43" s="491">
        <f t="shared" si="12"/>
        <v>17.162221314685318</v>
      </c>
      <c r="Y43" s="491">
        <f t="shared" si="13"/>
        <v>36.984547718181815</v>
      </c>
      <c r="Z43" s="491">
        <f t="shared" si="14"/>
        <v>24.647792561755434</v>
      </c>
      <c r="AA43" s="491">
        <f t="shared" si="33"/>
        <v>19.106794000000001</v>
      </c>
      <c r="AB43" s="491">
        <f t="shared" si="15"/>
        <v>24.922062332339753</v>
      </c>
      <c r="AC43" s="491">
        <f t="shared" si="34"/>
        <v>13.652015</v>
      </c>
      <c r="AD43" s="491">
        <f t="shared" si="16"/>
        <v>9.7537569730941698</v>
      </c>
      <c r="AE43" s="491">
        <f t="shared" si="35"/>
        <v>35.831085000000002</v>
      </c>
      <c r="AF43" s="652">
        <f t="shared" si="17"/>
        <v>39.642324888226511</v>
      </c>
      <c r="AG43" s="549">
        <v>2039</v>
      </c>
      <c r="AH43" s="544">
        <f t="shared" si="19"/>
        <v>2.3804000963468539</v>
      </c>
      <c r="AI43" s="544">
        <f t="shared" si="20"/>
        <v>5.1297567685118182</v>
      </c>
      <c r="AJ43" s="544">
        <f t="shared" si="21"/>
        <v>3.4186488283154786</v>
      </c>
      <c r="AK43" s="544">
        <f t="shared" si="22"/>
        <v>2.6501123278000001</v>
      </c>
      <c r="AL43" s="544">
        <f t="shared" si="23"/>
        <v>3.4566900454955234</v>
      </c>
      <c r="AM43" s="544">
        <f t="shared" si="24"/>
        <v>1.8935344805000001</v>
      </c>
      <c r="AN43" s="544">
        <f t="shared" si="25"/>
        <v>1.3528460921681613</v>
      </c>
      <c r="AO43" s="544">
        <f t="shared" si="26"/>
        <v>9.7493645962684727</v>
      </c>
      <c r="AP43" s="550">
        <f t="shared" si="27"/>
        <v>5.4983904619970172</v>
      </c>
      <c r="AQ43" s="10"/>
    </row>
    <row r="44" spans="1:43" x14ac:dyDescent="0.2">
      <c r="A44" s="964">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1">
        <f t="shared" si="0"/>
        <v>38.748137108792832</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9"/>
        <v>9.4302687920638633</v>
      </c>
      <c r="T44" s="552">
        <f t="shared" si="10"/>
        <v>5.3743666169895663</v>
      </c>
      <c r="U44" s="1375">
        <f>'S-curves'!AN29</f>
        <v>1.9091366474068348</v>
      </c>
      <c r="W44" s="964">
        <v>2040</v>
      </c>
      <c r="X44" s="491">
        <f t="shared" si="12"/>
        <v>17.310561006993012</v>
      </c>
      <c r="Y44" s="491">
        <f t="shared" si="13"/>
        <v>37.874732645454536</v>
      </c>
      <c r="Z44" s="491">
        <f t="shared" si="14"/>
        <v>24.735589328130555</v>
      </c>
      <c r="AA44" s="491">
        <f t="shared" si="33"/>
        <v>19.197942999999999</v>
      </c>
      <c r="AB44" s="491">
        <f t="shared" si="15"/>
        <v>24.923169833457731</v>
      </c>
      <c r="AC44" s="491">
        <f t="shared" si="34"/>
        <v>13.829222</v>
      </c>
      <c r="AD44" s="491">
        <f t="shared" si="16"/>
        <v>9.7124419910313904</v>
      </c>
      <c r="AE44" s="491">
        <f t="shared" si="35"/>
        <v>35.613166999999997</v>
      </c>
      <c r="AF44" s="652">
        <f t="shared" si="17"/>
        <v>38.748137108792832</v>
      </c>
      <c r="AG44" s="551">
        <v>2040</v>
      </c>
      <c r="AH44" s="545">
        <f t="shared" si="19"/>
        <v>2.400974811669931</v>
      </c>
      <c r="AI44" s="545">
        <f t="shared" si="20"/>
        <v>5.2532254179245434</v>
      </c>
      <c r="AJ44" s="545">
        <f t="shared" si="21"/>
        <v>3.4308262398117075</v>
      </c>
      <c r="AK44" s="545">
        <f t="shared" si="22"/>
        <v>2.6627546940999998</v>
      </c>
      <c r="AL44" s="545">
        <f t="shared" si="23"/>
        <v>3.4568436559005873</v>
      </c>
      <c r="AM44" s="545">
        <f t="shared" si="24"/>
        <v>1.9181130914</v>
      </c>
      <c r="AN44" s="545">
        <f t="shared" si="25"/>
        <v>1.347115704156054</v>
      </c>
      <c r="AO44" s="545">
        <f t="shared" si="26"/>
        <v>9.4302687920638633</v>
      </c>
      <c r="AP44" s="552">
        <f t="shared" si="27"/>
        <v>5.3743666169895663</v>
      </c>
      <c r="AQ44" s="10"/>
    </row>
    <row r="45" spans="1:43" x14ac:dyDescent="0.2">
      <c r="A45" s="963">
        <v>2041</v>
      </c>
      <c r="B45" s="491">
        <v>22.279131</v>
      </c>
      <c r="C45" s="491">
        <v>35.916091999999999</v>
      </c>
      <c r="D45" s="491">
        <v>26.118065000000001</v>
      </c>
      <c r="E45" s="491">
        <v>19.450199000000001</v>
      </c>
      <c r="F45" s="491">
        <v>26.271511</v>
      </c>
      <c r="G45" s="491">
        <v>13.942467000000001</v>
      </c>
      <c r="H45" s="491">
        <v>11.174136000000001</v>
      </c>
      <c r="I45" s="491">
        <v>35.422935000000003</v>
      </c>
      <c r="J45" s="1311">
        <f t="shared" si="0"/>
        <v>37.853949329359153</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9"/>
        <v>8.9456616685473076</v>
      </c>
      <c r="T45" s="550">
        <f t="shared" si="10"/>
        <v>5.2503427719821145</v>
      </c>
      <c r="U45" s="1375">
        <f>'S-curves'!AN30</f>
        <v>1.8207548082982679</v>
      </c>
      <c r="W45" s="963">
        <v>2041</v>
      </c>
      <c r="X45" s="491">
        <f t="shared" si="12"/>
        <v>17.449389314685316</v>
      </c>
      <c r="Y45" s="491">
        <f t="shared" si="13"/>
        <v>38.201661490909082</v>
      </c>
      <c r="Z45" s="491">
        <f t="shared" si="14"/>
        <v>24.912073733802185</v>
      </c>
      <c r="AA45" s="491">
        <f t="shared" si="33"/>
        <v>19.450199000000001</v>
      </c>
      <c r="AB45" s="491">
        <f t="shared" si="15"/>
        <v>25.08252396845694</v>
      </c>
      <c r="AC45" s="491">
        <f t="shared" si="34"/>
        <v>13.942467000000001</v>
      </c>
      <c r="AD45" s="491">
        <f t="shared" si="16"/>
        <v>9.6708890044843052</v>
      </c>
      <c r="AE45" s="491">
        <f t="shared" si="35"/>
        <v>35.422935000000003</v>
      </c>
      <c r="AF45" s="652">
        <f t="shared" si="17"/>
        <v>37.853949329359153</v>
      </c>
      <c r="AG45" s="549">
        <v>2041</v>
      </c>
      <c r="AH45" s="544">
        <f t="shared" si="19"/>
        <v>2.4202302979468535</v>
      </c>
      <c r="AI45" s="544">
        <f t="shared" si="20"/>
        <v>5.2985704487890901</v>
      </c>
      <c r="AJ45" s="544">
        <f t="shared" si="21"/>
        <v>3.4553046268783629</v>
      </c>
      <c r="AK45" s="544">
        <f t="shared" si="22"/>
        <v>2.6977426013000003</v>
      </c>
      <c r="AL45" s="544">
        <f t="shared" si="23"/>
        <v>3.4789460744249774</v>
      </c>
      <c r="AM45" s="544">
        <f t="shared" si="24"/>
        <v>1.9338201729000002</v>
      </c>
      <c r="AN45" s="544">
        <f t="shared" si="25"/>
        <v>1.3413523049219731</v>
      </c>
      <c r="AO45" s="544">
        <f t="shared" si="26"/>
        <v>8.9456616685473076</v>
      </c>
      <c r="AP45" s="550">
        <f t="shared" si="27"/>
        <v>5.2503427719821145</v>
      </c>
      <c r="AQ45" s="10"/>
    </row>
    <row r="46" spans="1:43" x14ac:dyDescent="0.2">
      <c r="A46" s="963">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1">
        <f t="shared" si="0"/>
        <v>36.959761549925474</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9"/>
        <v>8.2809104833630194</v>
      </c>
      <c r="T46" s="550">
        <f t="shared" si="10"/>
        <v>5.1263189269746636</v>
      </c>
      <c r="U46" s="1375">
        <f>'S-curves'!AN31</f>
        <v>1.6935372605193146</v>
      </c>
      <c r="W46" s="963">
        <v>2042</v>
      </c>
      <c r="X46" s="491">
        <f t="shared" si="12"/>
        <v>17.679904895104897</v>
      </c>
      <c r="Y46" s="491">
        <f t="shared" si="13"/>
        <v>39.864867545454544</v>
      </c>
      <c r="Z46" s="491">
        <f t="shared" si="14"/>
        <v>25.296499706759093</v>
      </c>
      <c r="AA46" s="491">
        <f t="shared" si="33"/>
        <v>19.834574</v>
      </c>
      <c r="AB46" s="491">
        <f t="shared" si="15"/>
        <v>25.449459138431482</v>
      </c>
      <c r="AC46" s="491">
        <f t="shared" si="34"/>
        <v>13.968139000000001</v>
      </c>
      <c r="AD46" s="491">
        <f t="shared" si="16"/>
        <v>9.6588944439461883</v>
      </c>
      <c r="AE46" s="491">
        <f t="shared" si="35"/>
        <v>35.253875999999998</v>
      </c>
      <c r="AF46" s="652">
        <f t="shared" si="17"/>
        <v>36.959761549925474</v>
      </c>
      <c r="AG46" s="549">
        <v>2042</v>
      </c>
      <c r="AH46" s="544">
        <f t="shared" si="19"/>
        <v>2.452202808951049</v>
      </c>
      <c r="AI46" s="544">
        <f t="shared" si="20"/>
        <v>5.5292571285545451</v>
      </c>
      <c r="AJ46" s="544">
        <f t="shared" si="21"/>
        <v>3.5086245093274862</v>
      </c>
      <c r="AK46" s="544">
        <f t="shared" si="22"/>
        <v>2.7510554138000001</v>
      </c>
      <c r="AL46" s="544">
        <f t="shared" si="23"/>
        <v>3.5298399825004463</v>
      </c>
      <c r="AM46" s="544">
        <f t="shared" si="24"/>
        <v>1.9373808793000002</v>
      </c>
      <c r="AN46" s="544">
        <f t="shared" si="25"/>
        <v>1.3396886593753363</v>
      </c>
      <c r="AO46" s="544">
        <f t="shared" si="26"/>
        <v>8.2809104833630194</v>
      </c>
      <c r="AP46" s="550">
        <f t="shared" si="27"/>
        <v>5.1263189269746636</v>
      </c>
      <c r="AQ46" s="10"/>
    </row>
    <row r="47" spans="1:43" x14ac:dyDescent="0.2">
      <c r="A47" s="963">
        <v>2043</v>
      </c>
      <c r="B47" s="491">
        <v>22.785976000000002</v>
      </c>
      <c r="C47" s="491">
        <v>37.935295000000004</v>
      </c>
      <c r="D47" s="491">
        <v>26.736353000000001</v>
      </c>
      <c r="E47" s="491">
        <v>20.040814999999998</v>
      </c>
      <c r="F47" s="491">
        <v>26.817506999999999</v>
      </c>
      <c r="G47" s="491">
        <v>14.613647</v>
      </c>
      <c r="H47" s="491">
        <v>11.142837999999999</v>
      </c>
      <c r="I47" s="491">
        <v>34.979267</v>
      </c>
      <c r="J47" s="1311">
        <f t="shared" si="0"/>
        <v>36.065573770491788</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9"/>
        <v>7.4503429550494946</v>
      </c>
      <c r="T47" s="550">
        <f t="shared" si="10"/>
        <v>5.002295081967211</v>
      </c>
      <c r="U47" s="1375">
        <f>'S-curves'!AN32</f>
        <v>1.5356388796484046</v>
      </c>
      <c r="W47" s="963">
        <v>2043</v>
      </c>
      <c r="X47" s="491">
        <f t="shared" si="12"/>
        <v>17.846358825174828</v>
      </c>
      <c r="Y47" s="491">
        <f t="shared" si="13"/>
        <v>40.349359227272728</v>
      </c>
      <c r="Z47" s="491">
        <f t="shared" si="14"/>
        <v>25.501812531248515</v>
      </c>
      <c r="AA47" s="491">
        <f t="shared" si="33"/>
        <v>20.040814999999998</v>
      </c>
      <c r="AB47" s="491">
        <f t="shared" si="15"/>
        <v>25.603809468810596</v>
      </c>
      <c r="AC47" s="491">
        <f t="shared" si="34"/>
        <v>14.613647</v>
      </c>
      <c r="AD47" s="491">
        <f t="shared" si="16"/>
        <v>9.6438014977578472</v>
      </c>
      <c r="AE47" s="491">
        <f t="shared" si="35"/>
        <v>34.979267</v>
      </c>
      <c r="AF47" s="652">
        <f t="shared" si="17"/>
        <v>36.065573770491788</v>
      </c>
      <c r="AG47" s="549">
        <v>2043</v>
      </c>
      <c r="AH47" s="544">
        <f t="shared" si="19"/>
        <v>2.4752899690517487</v>
      </c>
      <c r="AI47" s="544">
        <f t="shared" si="20"/>
        <v>5.5964561248227271</v>
      </c>
      <c r="AJ47" s="544">
        <f t="shared" si="21"/>
        <v>3.5371013980841686</v>
      </c>
      <c r="AK47" s="544">
        <f t="shared" si="22"/>
        <v>2.7796610404999997</v>
      </c>
      <c r="AL47" s="544">
        <f t="shared" si="23"/>
        <v>3.5512483733240297</v>
      </c>
      <c r="AM47" s="544">
        <f t="shared" si="24"/>
        <v>2.0269128389</v>
      </c>
      <c r="AN47" s="544">
        <f t="shared" si="25"/>
        <v>1.3375952677390133</v>
      </c>
      <c r="AO47" s="544">
        <f t="shared" si="26"/>
        <v>7.4503429550494946</v>
      </c>
      <c r="AP47" s="550">
        <f t="shared" si="27"/>
        <v>5.002295081967211</v>
      </c>
      <c r="AQ47" s="10"/>
    </row>
    <row r="48" spans="1:43" x14ac:dyDescent="0.2">
      <c r="A48" s="963">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1">
        <f t="shared" si="0"/>
        <v>35.171385991058102</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9"/>
        <v>6.6041169790355356</v>
      </c>
      <c r="T48" s="550">
        <f t="shared" si="10"/>
        <v>4.8782712369597592</v>
      </c>
      <c r="U48" s="1375">
        <f>'S-curves'!AN33</f>
        <v>1.3678794411714423</v>
      </c>
      <c r="W48" s="963">
        <v>2044</v>
      </c>
      <c r="X48" s="491">
        <f t="shared" si="12"/>
        <v>18.011189146853148</v>
      </c>
      <c r="Y48" s="491">
        <f t="shared" si="13"/>
        <v>40.786452081818176</v>
      </c>
      <c r="Z48" s="491">
        <f t="shared" si="14"/>
        <v>25.701756272574713</v>
      </c>
      <c r="AA48" s="491">
        <f t="shared" si="33"/>
        <v>20.276285000000001</v>
      </c>
      <c r="AB48" s="491">
        <f t="shared" si="15"/>
        <v>25.804069539499174</v>
      </c>
      <c r="AC48" s="491">
        <f t="shared" si="34"/>
        <v>14.869235</v>
      </c>
      <c r="AD48" s="491">
        <f t="shared" si="16"/>
        <v>9.6362918071748886</v>
      </c>
      <c r="AE48" s="491">
        <f t="shared" si="35"/>
        <v>34.808914000000001</v>
      </c>
      <c r="AF48" s="652">
        <f t="shared" si="17"/>
        <v>35.171385991058102</v>
      </c>
      <c r="AG48" s="549">
        <v>2044</v>
      </c>
      <c r="AH48" s="544">
        <f t="shared" si="19"/>
        <v>2.4981519346685315</v>
      </c>
      <c r="AI48" s="544">
        <f t="shared" si="20"/>
        <v>5.6570809037481808</v>
      </c>
      <c r="AJ48" s="544">
        <f t="shared" si="21"/>
        <v>3.5648335950061125</v>
      </c>
      <c r="AK48" s="544">
        <f t="shared" si="22"/>
        <v>2.8123207295000006</v>
      </c>
      <c r="AL48" s="544">
        <f t="shared" si="23"/>
        <v>3.5790244451285353</v>
      </c>
      <c r="AM48" s="544">
        <f t="shared" si="24"/>
        <v>2.0623628945000001</v>
      </c>
      <c r="AN48" s="544">
        <f t="shared" si="25"/>
        <v>1.3365536736551569</v>
      </c>
      <c r="AO48" s="544">
        <f t="shared" si="26"/>
        <v>6.6041169790355356</v>
      </c>
      <c r="AP48" s="550">
        <f t="shared" si="27"/>
        <v>4.8782712369597592</v>
      </c>
      <c r="AQ48" s="10"/>
    </row>
    <row r="49" spans="1:43" x14ac:dyDescent="0.2">
      <c r="A49" s="964">
        <v>2045</v>
      </c>
      <c r="B49" s="491">
        <v>23.208030999999998</v>
      </c>
      <c r="C49" s="491">
        <v>38.771312999999999</v>
      </c>
      <c r="D49" s="491">
        <v>27.292883</v>
      </c>
      <c r="E49" s="491">
        <v>20.70055</v>
      </c>
      <c r="F49" s="491">
        <v>27.398430000000001</v>
      </c>
      <c r="G49" s="491">
        <v>14.895740999999999</v>
      </c>
      <c r="H49" s="491">
        <v>11.127587</v>
      </c>
      <c r="I49" s="491">
        <v>34.676597999999998</v>
      </c>
      <c r="J49" s="1311">
        <f t="shared" si="0"/>
        <v>34.277198211624423</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9"/>
        <v>5.8572057614843391</v>
      </c>
      <c r="T49" s="552">
        <f t="shared" si="10"/>
        <v>4.7542473919523083</v>
      </c>
      <c r="U49" s="1375">
        <f>'S-curves'!AN34</f>
        <v>1.2178043921390924</v>
      </c>
      <c r="W49" s="964">
        <v>2045</v>
      </c>
      <c r="X49" s="491">
        <f t="shared" si="12"/>
        <v>18.176919384615385</v>
      </c>
      <c r="Y49" s="491">
        <f t="shared" si="13"/>
        <v>41.238578372727268</v>
      </c>
      <c r="Z49" s="491">
        <f t="shared" si="14"/>
        <v>26.032644979788362</v>
      </c>
      <c r="AA49" s="491">
        <f t="shared" si="33"/>
        <v>20.70055</v>
      </c>
      <c r="AB49" s="491">
        <f t="shared" si="15"/>
        <v>26.158441254981096</v>
      </c>
      <c r="AC49" s="491">
        <f t="shared" si="34"/>
        <v>14.895740999999999</v>
      </c>
      <c r="AD49" s="491">
        <f t="shared" si="16"/>
        <v>9.630602201793721</v>
      </c>
      <c r="AE49" s="491">
        <f t="shared" si="35"/>
        <v>34.676597999999998</v>
      </c>
      <c r="AF49" s="652">
        <f t="shared" si="17"/>
        <v>34.277198211624423</v>
      </c>
      <c r="AG49" s="551">
        <v>2045</v>
      </c>
      <c r="AH49" s="545">
        <f t="shared" si="19"/>
        <v>2.5211387186461538</v>
      </c>
      <c r="AI49" s="545">
        <f t="shared" si="20"/>
        <v>5.7197908202972716</v>
      </c>
      <c r="AJ49" s="545">
        <f t="shared" si="21"/>
        <v>3.6107278586966456</v>
      </c>
      <c r="AK49" s="545">
        <f t="shared" si="22"/>
        <v>2.8711662850000002</v>
      </c>
      <c r="AL49" s="545">
        <f t="shared" si="23"/>
        <v>3.6281758020658783</v>
      </c>
      <c r="AM49" s="545">
        <f t="shared" si="24"/>
        <v>2.0660392766999998</v>
      </c>
      <c r="AN49" s="545">
        <f t="shared" si="25"/>
        <v>1.3357645253887891</v>
      </c>
      <c r="AO49" s="545">
        <f t="shared" si="26"/>
        <v>5.8572057614843391</v>
      </c>
      <c r="AP49" s="552">
        <f t="shared" si="27"/>
        <v>4.7542473919523083</v>
      </c>
      <c r="AQ49" s="10"/>
    </row>
    <row r="50" spans="1:43" x14ac:dyDescent="0.2">
      <c r="A50" s="963">
        <v>2046</v>
      </c>
      <c r="B50" s="491">
        <v>23.411003000000001</v>
      </c>
      <c r="C50" s="491">
        <v>39.264046</v>
      </c>
      <c r="D50" s="491">
        <v>27.377738999999998</v>
      </c>
      <c r="E50" s="491">
        <v>20.752966000000001</v>
      </c>
      <c r="F50" s="491">
        <v>27.414787</v>
      </c>
      <c r="G50" s="491">
        <v>15.526524999999999</v>
      </c>
      <c r="H50" s="491">
        <v>11.152502999999999</v>
      </c>
      <c r="I50" s="491">
        <v>34.547210999999997</v>
      </c>
      <c r="J50" s="1311">
        <f t="shared" si="0"/>
        <v>33.383010432190744</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9"/>
        <v>5.3061595847833702</v>
      </c>
      <c r="T50" s="550">
        <f t="shared" si="10"/>
        <v>4.6302235469448565</v>
      </c>
      <c r="U50" s="1375">
        <f>'S-curves'!AN35</f>
        <v>1.1073651555863839</v>
      </c>
      <c r="W50" s="963">
        <v>2046</v>
      </c>
      <c r="X50" s="491">
        <f t="shared" si="12"/>
        <v>18.335890461538465</v>
      </c>
      <c r="Y50" s="491">
        <f t="shared" si="13"/>
        <v>41.762667109090906</v>
      </c>
      <c r="Z50" s="491">
        <f t="shared" si="14"/>
        <v>26.113582787729168</v>
      </c>
      <c r="AA50" s="491">
        <f t="shared" si="33"/>
        <v>20.752966000000001</v>
      </c>
      <c r="AB50" s="491">
        <f t="shared" si="15"/>
        <v>26.174057975486896</v>
      </c>
      <c r="AC50" s="491">
        <f t="shared" si="34"/>
        <v>15.526524999999999</v>
      </c>
      <c r="AD50" s="491">
        <f t="shared" si="16"/>
        <v>9.6521662735425995</v>
      </c>
      <c r="AE50" s="491">
        <f t="shared" si="35"/>
        <v>34.547210999999997</v>
      </c>
      <c r="AF50" s="652">
        <f t="shared" si="17"/>
        <v>33.383010432190744</v>
      </c>
      <c r="AG50" s="549">
        <v>2046</v>
      </c>
      <c r="AH50" s="544">
        <f t="shared" si="19"/>
        <v>2.5431880070153854</v>
      </c>
      <c r="AI50" s="544">
        <f t="shared" si="20"/>
        <v>5.7924819280309094</v>
      </c>
      <c r="AJ50" s="544">
        <f t="shared" si="21"/>
        <v>3.6219539326580357</v>
      </c>
      <c r="AK50" s="544">
        <f t="shared" si="22"/>
        <v>2.8784363842</v>
      </c>
      <c r="AL50" s="544">
        <f t="shared" si="23"/>
        <v>3.6303418412000323</v>
      </c>
      <c r="AM50" s="544">
        <f t="shared" si="24"/>
        <v>2.1535290174999999</v>
      </c>
      <c r="AN50" s="544">
        <f t="shared" si="25"/>
        <v>1.3387554621403586</v>
      </c>
      <c r="AO50" s="544">
        <f t="shared" si="26"/>
        <v>5.3061595847833702</v>
      </c>
      <c r="AP50" s="550">
        <f t="shared" si="27"/>
        <v>4.6302235469448565</v>
      </c>
      <c r="AQ50" s="10"/>
    </row>
    <row r="51" spans="1:43" x14ac:dyDescent="0.2">
      <c r="A51" s="963">
        <v>2047</v>
      </c>
      <c r="B51" s="491">
        <v>23.683239</v>
      </c>
      <c r="C51" s="491">
        <v>42.460051999999997</v>
      </c>
      <c r="D51" s="491">
        <v>27.854393000000002</v>
      </c>
      <c r="E51" s="491">
        <v>21.175343999999999</v>
      </c>
      <c r="F51" s="491">
        <v>27.670738</v>
      </c>
      <c r="G51" s="491">
        <v>15.824721</v>
      </c>
      <c r="H51" s="491">
        <v>11.190495</v>
      </c>
      <c r="I51" s="491">
        <v>34.415016000000001</v>
      </c>
      <c r="J51" s="1311">
        <f t="shared" si="0"/>
        <v>32.488822652757065</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9"/>
        <v>4.9757761880547049</v>
      </c>
      <c r="T51" s="550">
        <f t="shared" si="10"/>
        <v>4.5061997019374056</v>
      </c>
      <c r="U51" s="1375">
        <f>'S-curves'!AN36</f>
        <v>1.0424047952694926</v>
      </c>
      <c r="W51" s="963">
        <v>2047</v>
      </c>
      <c r="X51" s="491">
        <f t="shared" si="12"/>
        <v>18.549110265734267</v>
      </c>
      <c r="Y51" s="491">
        <f t="shared" si="13"/>
        <v>45.162055309090903</v>
      </c>
      <c r="Z51" s="491">
        <f t="shared" si="14"/>
        <v>26.568227478808382</v>
      </c>
      <c r="AA51" s="491">
        <f t="shared" si="33"/>
        <v>21.175343999999999</v>
      </c>
      <c r="AB51" s="491">
        <f t="shared" si="15"/>
        <v>26.418425232941196</v>
      </c>
      <c r="AC51" s="491">
        <f t="shared" si="34"/>
        <v>15.824721</v>
      </c>
      <c r="AD51" s="491">
        <f t="shared" si="16"/>
        <v>9.685047242152466</v>
      </c>
      <c r="AE51" s="491">
        <f t="shared" si="35"/>
        <v>34.415016000000001</v>
      </c>
      <c r="AF51" s="652">
        <f t="shared" si="17"/>
        <v>32.488822652757065</v>
      </c>
      <c r="AG51" s="549">
        <v>2047</v>
      </c>
      <c r="AH51" s="544">
        <f t="shared" si="19"/>
        <v>2.5727615938573427</v>
      </c>
      <c r="AI51" s="544">
        <f t="shared" si="20"/>
        <v>6.263977071370908</v>
      </c>
      <c r="AJ51" s="544">
        <f t="shared" si="21"/>
        <v>3.6850131513107223</v>
      </c>
      <c r="AK51" s="544">
        <f t="shared" si="22"/>
        <v>2.9370202127999998</v>
      </c>
      <c r="AL51" s="544">
        <f t="shared" si="23"/>
        <v>3.6642355798089441</v>
      </c>
      <c r="AM51" s="544">
        <f t="shared" si="24"/>
        <v>2.1948888027</v>
      </c>
      <c r="AN51" s="544">
        <f t="shared" si="25"/>
        <v>1.3433160524865471</v>
      </c>
      <c r="AO51" s="544">
        <f t="shared" si="26"/>
        <v>4.9757761880547049</v>
      </c>
      <c r="AP51" s="550">
        <f t="shared" si="27"/>
        <v>4.5061997019374056</v>
      </c>
      <c r="AQ51" s="10"/>
    </row>
    <row r="52" spans="1:43" x14ac:dyDescent="0.2">
      <c r="A52" s="963">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1">
        <f t="shared" si="0"/>
        <v>31.594634873323376</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9"/>
        <v>4.8126445337971857</v>
      </c>
      <c r="T52" s="550">
        <f t="shared" si="10"/>
        <v>4.382175856929952</v>
      </c>
      <c r="U52" s="1375">
        <f>'S-curves'!AN37</f>
        <v>1.0128662537190456</v>
      </c>
      <c r="W52" s="963">
        <v>2048</v>
      </c>
      <c r="X52" s="491">
        <f t="shared" si="12"/>
        <v>18.766499132867136</v>
      </c>
      <c r="Y52" s="491">
        <f t="shared" si="13"/>
        <v>46.315446627272721</v>
      </c>
      <c r="Z52" s="491">
        <f t="shared" si="14"/>
        <v>26.875046402112986</v>
      </c>
      <c r="AA52" s="491">
        <f t="shared" si="33"/>
        <v>21.518598999999998</v>
      </c>
      <c r="AB52" s="491">
        <f t="shared" si="15"/>
        <v>26.642640743760058</v>
      </c>
      <c r="AC52" s="491">
        <f t="shared" si="34"/>
        <v>16.030633999999999</v>
      </c>
      <c r="AD52" s="491">
        <f t="shared" si="16"/>
        <v>9.7018114125560544</v>
      </c>
      <c r="AE52" s="491">
        <f t="shared" si="35"/>
        <v>34.257465000000003</v>
      </c>
      <c r="AF52" s="652">
        <f t="shared" si="17"/>
        <v>31.594634873323376</v>
      </c>
      <c r="AG52" s="549">
        <v>2048</v>
      </c>
      <c r="AH52" s="544">
        <f t="shared" si="19"/>
        <v>2.6029134297286718</v>
      </c>
      <c r="AI52" s="544">
        <f t="shared" si="20"/>
        <v>6.4239524472027263</v>
      </c>
      <c r="AJ52" s="544">
        <f t="shared" si="21"/>
        <v>3.7275689359730708</v>
      </c>
      <c r="AK52" s="544">
        <f t="shared" si="22"/>
        <v>2.9846296812999999</v>
      </c>
      <c r="AL52" s="544">
        <f t="shared" si="23"/>
        <v>3.6953342711595201</v>
      </c>
      <c r="AM52" s="544">
        <f t="shared" si="24"/>
        <v>2.2234489358</v>
      </c>
      <c r="AN52" s="544">
        <f t="shared" si="25"/>
        <v>1.3456412429215248</v>
      </c>
      <c r="AO52" s="544">
        <f t="shared" si="26"/>
        <v>4.8126445337971857</v>
      </c>
      <c r="AP52" s="550">
        <f t="shared" si="27"/>
        <v>4.382175856929952</v>
      </c>
      <c r="AQ52" s="10"/>
    </row>
    <row r="53" spans="1:43" x14ac:dyDescent="0.2">
      <c r="A53" s="963">
        <v>2049</v>
      </c>
      <c r="B53" s="491">
        <v>24.167490000000001</v>
      </c>
      <c r="C53" s="491">
        <v>43.591911000000003</v>
      </c>
      <c r="D53" s="491">
        <v>28.421361999999998</v>
      </c>
      <c r="E53" s="491">
        <v>21.766680000000001</v>
      </c>
      <c r="F53" s="491">
        <v>28.076466</v>
      </c>
      <c r="G53" s="491">
        <v>16.223696</v>
      </c>
      <c r="H53" s="491">
        <v>11.231529999999999</v>
      </c>
      <c r="I53" s="491">
        <v>34.011459000000002</v>
      </c>
      <c r="J53" s="1311">
        <f t="shared" si="0"/>
        <v>30.700447093889697</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9"/>
        <v>4.7309044396005095</v>
      </c>
      <c r="T53" s="550">
        <f t="shared" si="10"/>
        <v>4.2581520119225011</v>
      </c>
      <c r="U53" s="1375">
        <f>'S-curves'!AN38</f>
        <v>1.0028649482287073</v>
      </c>
      <c r="W53" s="963">
        <v>2049</v>
      </c>
      <c r="X53" s="491">
        <f t="shared" si="12"/>
        <v>18.928383776223779</v>
      </c>
      <c r="Y53" s="491">
        <f t="shared" si="13"/>
        <v>46.3659417</v>
      </c>
      <c r="Z53" s="491">
        <f t="shared" si="14"/>
        <v>27.109016910674029</v>
      </c>
      <c r="AA53" s="491">
        <f t="shared" si="33"/>
        <v>21.766680000000001</v>
      </c>
      <c r="AB53" s="491">
        <f t="shared" si="15"/>
        <v>26.805790934315361</v>
      </c>
      <c r="AC53" s="491">
        <f t="shared" si="34"/>
        <v>16.223696</v>
      </c>
      <c r="AD53" s="491">
        <f t="shared" si="16"/>
        <v>9.7205618385650219</v>
      </c>
      <c r="AE53" s="491">
        <f t="shared" si="35"/>
        <v>34.011459000000002</v>
      </c>
      <c r="AF53" s="652">
        <f t="shared" si="17"/>
        <v>30.700447093889697</v>
      </c>
      <c r="AG53" s="549">
        <v>2049</v>
      </c>
      <c r="AH53" s="544">
        <f t="shared" si="19"/>
        <v>2.6253668297622381</v>
      </c>
      <c r="AI53" s="544">
        <f t="shared" si="20"/>
        <v>6.4309561137899998</v>
      </c>
      <c r="AJ53" s="544">
        <f t="shared" si="21"/>
        <v>3.7600206455104876</v>
      </c>
      <c r="AK53" s="544">
        <f t="shared" si="22"/>
        <v>3.0190385160000002</v>
      </c>
      <c r="AL53" s="544">
        <f t="shared" si="23"/>
        <v>3.7179632025895408</v>
      </c>
      <c r="AM53" s="544">
        <f t="shared" si="24"/>
        <v>2.2502266351999998</v>
      </c>
      <c r="AN53" s="544">
        <f t="shared" si="25"/>
        <v>1.3482419270089685</v>
      </c>
      <c r="AO53" s="544">
        <f t="shared" si="26"/>
        <v>4.7309044396005095</v>
      </c>
      <c r="AP53" s="550">
        <f t="shared" si="27"/>
        <v>4.2581520119225011</v>
      </c>
      <c r="AQ53" s="10"/>
    </row>
    <row r="54" spans="1:43" ht="13.5" thickBot="1" x14ac:dyDescent="0.25">
      <c r="A54" s="965">
        <v>2050</v>
      </c>
      <c r="B54" s="564">
        <v>24.36318</v>
      </c>
      <c r="C54" s="564">
        <v>43.892014000000003</v>
      </c>
      <c r="D54" s="564">
        <v>28.630436</v>
      </c>
      <c r="E54" s="564">
        <v>21.858753</v>
      </c>
      <c r="F54" s="564">
        <v>28.233941999999999</v>
      </c>
      <c r="G54" s="564">
        <v>15.660544</v>
      </c>
      <c r="H54" s="564">
        <v>11.277456000000001</v>
      </c>
      <c r="I54" s="564">
        <v>33.779319999999998</v>
      </c>
      <c r="J54" s="1312">
        <f t="shared" si="0"/>
        <v>29.806259314456035</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9"/>
        <v>4.6872794878531119</v>
      </c>
      <c r="T54" s="555">
        <f t="shared" si="10"/>
        <v>4.134128166915052</v>
      </c>
      <c r="U54" s="1375">
        <f>'S-curves'!AN39</f>
        <v>1.000445617595592</v>
      </c>
      <c r="W54" s="965">
        <v>2050</v>
      </c>
      <c r="X54" s="564">
        <f t="shared" si="12"/>
        <v>19.081651468531472</v>
      </c>
      <c r="Y54" s="564">
        <f t="shared" si="13"/>
        <v>46.685142163636364</v>
      </c>
      <c r="Z54" s="564">
        <f t="shared" si="14"/>
        <v>27.30843700185693</v>
      </c>
      <c r="AA54" s="564">
        <f t="shared" si="33"/>
        <v>21.858753</v>
      </c>
      <c r="AB54" s="564">
        <f t="shared" si="15"/>
        <v>26.956139939534616</v>
      </c>
      <c r="AC54" s="564">
        <f t="shared" si="34"/>
        <v>15.660544</v>
      </c>
      <c r="AD54" s="564">
        <f t="shared" si="16"/>
        <v>9.7603094529147985</v>
      </c>
      <c r="AE54" s="564">
        <f t="shared" si="35"/>
        <v>33.779319999999998</v>
      </c>
      <c r="AF54" s="653">
        <f t="shared" si="17"/>
        <v>29.806259314456035</v>
      </c>
      <c r="AG54" s="553">
        <v>2050</v>
      </c>
      <c r="AH54" s="554">
        <f t="shared" si="19"/>
        <v>2.6466250586853155</v>
      </c>
      <c r="AI54" s="554">
        <f t="shared" si="20"/>
        <v>6.4752292180963638</v>
      </c>
      <c r="AJ54" s="554">
        <f t="shared" si="21"/>
        <v>3.7876802121575563</v>
      </c>
      <c r="AK54" s="554">
        <f t="shared" si="22"/>
        <v>3.0318090410999998</v>
      </c>
      <c r="AL54" s="554">
        <f t="shared" si="23"/>
        <v>3.7388166096134512</v>
      </c>
      <c r="AM54" s="554">
        <f t="shared" si="24"/>
        <v>2.1721174528000002</v>
      </c>
      <c r="AN54" s="554">
        <f t="shared" si="25"/>
        <v>1.3537549211192825</v>
      </c>
      <c r="AO54" s="554">
        <f t="shared" si="26"/>
        <v>4.6872794878531119</v>
      </c>
      <c r="AP54" s="555">
        <f t="shared" si="27"/>
        <v>4.134128166915052</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37">+B55/8</f>
        <v>#REF!</v>
      </c>
      <c r="M55" s="66" t="e">
        <f t="shared" ref="M55:M58" si="38">+C55/8</f>
        <v>#REF!</v>
      </c>
      <c r="N55" s="57" t="e">
        <f t="shared" ref="N55:N58" si="39">+D55/8</f>
        <v>#REF!</v>
      </c>
      <c r="O55" s="57" t="e">
        <f t="shared" ref="O55:O58" si="40">+E55/8</f>
        <v>#REF!</v>
      </c>
      <c r="P55" s="57" t="e">
        <f t="shared" ref="P55:P58" si="41">+F55/8</f>
        <v>#REF!</v>
      </c>
      <c r="Q55" s="57"/>
      <c r="R55" s="57"/>
      <c r="S55" s="57" t="e">
        <f>+G55/8</f>
        <v>#REF!</v>
      </c>
      <c r="T55" s="57"/>
      <c r="W55" s="3">
        <v>2051</v>
      </c>
      <c r="X55" s="62" t="e">
        <f t="shared" si="12"/>
        <v>#REF!</v>
      </c>
      <c r="Y55" s="63" t="e">
        <f t="shared" si="13"/>
        <v>#REF!</v>
      </c>
      <c r="Z55" s="64" t="e">
        <f t="shared" si="14"/>
        <v>#REF!</v>
      </c>
      <c r="AA55" s="64" t="e">
        <f>+(#REF!/#REF!)^0.2*#REF!</f>
        <v>#REF!</v>
      </c>
      <c r="AB55" s="64" t="e">
        <f t="shared" si="15"/>
        <v>#REF!</v>
      </c>
      <c r="AC55" s="64" t="e">
        <f>+(#REF!/#REF!)^0.2*#REF!</f>
        <v>#REF!</v>
      </c>
      <c r="AD55" s="64"/>
      <c r="AE55" s="64"/>
      <c r="AF55" s="64"/>
      <c r="AG55" s="63"/>
      <c r="AH55" s="65" t="e">
        <f t="shared" ref="AH55:AL58" si="42">+X55/8</f>
        <v>#REF!</v>
      </c>
      <c r="AI55" s="66" t="e">
        <f t="shared" si="42"/>
        <v>#REF!</v>
      </c>
      <c r="AJ55" s="57" t="e">
        <f t="shared" si="42"/>
        <v>#REF!</v>
      </c>
      <c r="AK55" s="57" t="e">
        <f t="shared" si="42"/>
        <v>#REF!</v>
      </c>
      <c r="AL55" s="57" t="e">
        <f t="shared" si="42"/>
        <v>#REF!</v>
      </c>
      <c r="AM55" s="57"/>
      <c r="AN55" s="57"/>
      <c r="AO55" s="57">
        <f t="shared" ref="AO55:AO58" si="43">U55*AE55*HVDiesel/10^6</f>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37"/>
        <v>#REF!</v>
      </c>
      <c r="M56" s="60" t="e">
        <f t="shared" si="38"/>
        <v>#REF!</v>
      </c>
      <c r="N56" s="57" t="e">
        <f t="shared" si="39"/>
        <v>#REF!</v>
      </c>
      <c r="O56" s="57" t="e">
        <f t="shared" si="40"/>
        <v>#REF!</v>
      </c>
      <c r="P56" s="57" t="e">
        <f t="shared" si="41"/>
        <v>#REF!</v>
      </c>
      <c r="Q56" s="57"/>
      <c r="R56" s="57"/>
      <c r="S56" s="57" t="e">
        <f>+G56/8</f>
        <v>#REF!</v>
      </c>
      <c r="T56" s="57"/>
      <c r="W56" s="67">
        <v>2052</v>
      </c>
      <c r="X56" s="61" t="e">
        <f t="shared" si="12"/>
        <v>#REF!</v>
      </c>
      <c r="Y56" s="63" t="e">
        <f t="shared" si="13"/>
        <v>#REF!</v>
      </c>
      <c r="Z56" s="64" t="e">
        <f t="shared" si="14"/>
        <v>#REF!</v>
      </c>
      <c r="AA56" s="64" t="e">
        <f>+(#REF!/#REF!)^0.2*AA55</f>
        <v>#REF!</v>
      </c>
      <c r="AB56" s="64" t="e">
        <f t="shared" si="15"/>
        <v>#REF!</v>
      </c>
      <c r="AC56" s="64" t="e">
        <f>+(#REF!/#REF!)^0.2*AC55</f>
        <v>#REF!</v>
      </c>
      <c r="AD56" s="64"/>
      <c r="AE56" s="64"/>
      <c r="AF56" s="64"/>
      <c r="AG56" s="63"/>
      <c r="AH56" s="65" t="e">
        <f t="shared" si="42"/>
        <v>#REF!</v>
      </c>
      <c r="AI56" s="60" t="e">
        <f t="shared" si="42"/>
        <v>#REF!</v>
      </c>
      <c r="AJ56" s="57" t="e">
        <f t="shared" si="42"/>
        <v>#REF!</v>
      </c>
      <c r="AK56" s="57" t="e">
        <f t="shared" si="42"/>
        <v>#REF!</v>
      </c>
      <c r="AL56" s="57" t="e">
        <f t="shared" si="42"/>
        <v>#REF!</v>
      </c>
      <c r="AM56" s="57"/>
      <c r="AN56" s="57"/>
      <c r="AO56" s="57">
        <f t="shared" si="43"/>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37"/>
        <v>#REF!</v>
      </c>
      <c r="M57" s="60" t="e">
        <f t="shared" si="38"/>
        <v>#REF!</v>
      </c>
      <c r="N57" s="57" t="e">
        <f t="shared" si="39"/>
        <v>#REF!</v>
      </c>
      <c r="O57" s="57" t="e">
        <f t="shared" si="40"/>
        <v>#REF!</v>
      </c>
      <c r="P57" s="57" t="e">
        <f t="shared" si="41"/>
        <v>#REF!</v>
      </c>
      <c r="Q57" s="57"/>
      <c r="R57" s="57"/>
      <c r="S57" s="57" t="e">
        <f>+G57/8</f>
        <v>#REF!</v>
      </c>
      <c r="T57" s="57"/>
      <c r="W57" s="3">
        <v>2053</v>
      </c>
      <c r="X57" s="61" t="e">
        <f t="shared" si="12"/>
        <v>#REF!</v>
      </c>
      <c r="Y57" s="63" t="e">
        <f t="shared" si="13"/>
        <v>#REF!</v>
      </c>
      <c r="Z57" s="64" t="e">
        <f t="shared" si="14"/>
        <v>#REF!</v>
      </c>
      <c r="AA57" s="64" t="e">
        <f>+(#REF!/#REF!)^0.2*AA56</f>
        <v>#REF!</v>
      </c>
      <c r="AB57" s="64" t="e">
        <f t="shared" si="15"/>
        <v>#REF!</v>
      </c>
      <c r="AC57" s="64" t="e">
        <f>+(#REF!/#REF!)^0.2*AC56</f>
        <v>#REF!</v>
      </c>
      <c r="AD57" s="64"/>
      <c r="AE57" s="64"/>
      <c r="AF57" s="64"/>
      <c r="AG57" s="63"/>
      <c r="AH57" s="65" t="e">
        <f t="shared" si="42"/>
        <v>#REF!</v>
      </c>
      <c r="AI57" s="60" t="e">
        <f t="shared" si="42"/>
        <v>#REF!</v>
      </c>
      <c r="AJ57" s="57" t="e">
        <f t="shared" si="42"/>
        <v>#REF!</v>
      </c>
      <c r="AK57" s="57" t="e">
        <f t="shared" si="42"/>
        <v>#REF!</v>
      </c>
      <c r="AL57" s="57" t="e">
        <f t="shared" si="42"/>
        <v>#REF!</v>
      </c>
      <c r="AM57" s="57"/>
      <c r="AN57" s="57"/>
      <c r="AO57" s="57">
        <f t="shared" si="43"/>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37"/>
        <v>#REF!</v>
      </c>
      <c r="M58" s="60" t="e">
        <f t="shared" si="38"/>
        <v>#REF!</v>
      </c>
      <c r="N58" s="57" t="e">
        <f t="shared" si="39"/>
        <v>#REF!</v>
      </c>
      <c r="O58" s="57" t="e">
        <f t="shared" si="40"/>
        <v>#REF!</v>
      </c>
      <c r="P58" s="57" t="e">
        <f t="shared" si="41"/>
        <v>#REF!</v>
      </c>
      <c r="Q58" s="57"/>
      <c r="R58" s="57"/>
      <c r="S58" s="57" t="e">
        <f>+G58/8</f>
        <v>#REF!</v>
      </c>
      <c r="T58" s="57"/>
      <c r="W58" s="67">
        <v>2054</v>
      </c>
      <c r="X58" s="61" t="e">
        <f t="shared" si="12"/>
        <v>#REF!</v>
      </c>
      <c r="Y58" s="63" t="e">
        <f t="shared" si="13"/>
        <v>#REF!</v>
      </c>
      <c r="Z58" s="64" t="e">
        <f t="shared" si="14"/>
        <v>#REF!</v>
      </c>
      <c r="AA58" s="64" t="e">
        <f>+(#REF!/#REF!)^0.2*AA57</f>
        <v>#REF!</v>
      </c>
      <c r="AB58" s="64" t="e">
        <f t="shared" si="15"/>
        <v>#REF!</v>
      </c>
      <c r="AC58" s="64" t="e">
        <f>+(#REF!/#REF!)^0.2*AC57</f>
        <v>#REF!</v>
      </c>
      <c r="AD58" s="64"/>
      <c r="AE58" s="64"/>
      <c r="AF58" s="64"/>
      <c r="AG58" s="63"/>
      <c r="AH58" s="65" t="e">
        <f t="shared" si="42"/>
        <v>#REF!</v>
      </c>
      <c r="AI58" s="60" t="e">
        <f t="shared" si="42"/>
        <v>#REF!</v>
      </c>
      <c r="AJ58" s="57" t="e">
        <f t="shared" si="42"/>
        <v>#REF!</v>
      </c>
      <c r="AK58" s="57" t="e">
        <f t="shared" si="42"/>
        <v>#REF!</v>
      </c>
      <c r="AL58" s="57" t="e">
        <f t="shared" si="42"/>
        <v>#REF!</v>
      </c>
      <c r="AM58" s="57"/>
      <c r="AN58" s="57"/>
      <c r="AO58" s="57">
        <f t="shared" si="43"/>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432</v>
      </c>
      <c r="F60" s="64"/>
      <c r="J60" s="56" t="s">
        <v>450</v>
      </c>
      <c r="W60" s="56"/>
      <c r="AA60" s="7"/>
      <c r="AB60" s="64"/>
      <c r="AC60" s="7"/>
      <c r="AD60" s="7"/>
      <c r="AE60" s="7"/>
      <c r="AF60" s="56"/>
      <c r="AG60" s="53"/>
    </row>
    <row r="61" spans="1:43" ht="13.5" thickBot="1" x14ac:dyDescent="0.25">
      <c r="A61" s="571" t="s">
        <v>433</v>
      </c>
      <c r="F61" s="64"/>
      <c r="K61" s="7" t="s">
        <v>354</v>
      </c>
      <c r="W61" s="571"/>
      <c r="AA61" s="7"/>
      <c r="AB61" s="64"/>
      <c r="AC61" s="7"/>
      <c r="AD61" s="7"/>
      <c r="AF61" s="53"/>
      <c r="AG61" s="7" t="s">
        <v>354</v>
      </c>
    </row>
    <row r="62" spans="1:43" x14ac:dyDescent="0.2">
      <c r="A62" s="69" t="s">
        <v>7</v>
      </c>
      <c r="J62" s="961">
        <v>2007</v>
      </c>
      <c r="K62" s="652">
        <f t="shared" ref="K62:K69" si="44">K63</f>
        <v>12</v>
      </c>
      <c r="W62" s="69"/>
      <c r="AA62" s="7"/>
      <c r="AB62" s="7"/>
      <c r="AC62" s="7"/>
      <c r="AD62" s="7"/>
      <c r="AF62" s="1285">
        <v>2007</v>
      </c>
      <c r="AG62" s="652">
        <f>K62</f>
        <v>12</v>
      </c>
    </row>
    <row r="63" spans="1:43" x14ac:dyDescent="0.2">
      <c r="A63" s="3" t="s">
        <v>8</v>
      </c>
      <c r="J63" s="487">
        <v>2008</v>
      </c>
      <c r="K63" s="652">
        <f t="shared" si="44"/>
        <v>12</v>
      </c>
      <c r="AA63" s="7"/>
      <c r="AB63" s="7"/>
      <c r="AC63" s="7"/>
      <c r="AD63" s="7"/>
      <c r="AF63" s="489">
        <v>2008</v>
      </c>
      <c r="AG63" s="652">
        <f t="shared" ref="AG63:AG105" si="45">K63</f>
        <v>12</v>
      </c>
    </row>
    <row r="64" spans="1:43" x14ac:dyDescent="0.2">
      <c r="J64" s="487">
        <v>2009</v>
      </c>
      <c r="K64" s="652">
        <f t="shared" si="44"/>
        <v>12</v>
      </c>
      <c r="AF64" s="489">
        <v>2009</v>
      </c>
      <c r="AG64" s="652">
        <f t="shared" si="45"/>
        <v>12</v>
      </c>
    </row>
    <row r="65" spans="2:33" x14ac:dyDescent="0.2">
      <c r="J65" s="488">
        <v>2010</v>
      </c>
      <c r="K65" s="652">
        <f t="shared" si="44"/>
        <v>12</v>
      </c>
      <c r="AF65" s="489">
        <v>2010</v>
      </c>
      <c r="AG65" s="652">
        <f t="shared" si="45"/>
        <v>12</v>
      </c>
    </row>
    <row r="66" spans="2:33" x14ac:dyDescent="0.2">
      <c r="J66" s="489">
        <v>2011</v>
      </c>
      <c r="K66" s="652">
        <f t="shared" si="44"/>
        <v>12</v>
      </c>
      <c r="AF66" s="489">
        <v>2011</v>
      </c>
      <c r="AG66" s="652">
        <f t="shared" si="45"/>
        <v>12</v>
      </c>
    </row>
    <row r="67" spans="2:33" x14ac:dyDescent="0.2">
      <c r="J67" s="963">
        <v>2012</v>
      </c>
      <c r="K67" s="652">
        <f t="shared" si="44"/>
        <v>12</v>
      </c>
      <c r="AF67" s="963">
        <v>2012</v>
      </c>
      <c r="AG67" s="652">
        <f t="shared" si="45"/>
        <v>12</v>
      </c>
    </row>
    <row r="68" spans="2:33" x14ac:dyDescent="0.2">
      <c r="J68" s="963">
        <v>2013</v>
      </c>
      <c r="K68" s="652">
        <f t="shared" si="44"/>
        <v>12</v>
      </c>
      <c r="AF68" s="963">
        <v>2013</v>
      </c>
      <c r="AG68" s="652">
        <f t="shared" si="45"/>
        <v>12</v>
      </c>
    </row>
    <row r="69" spans="2:33" x14ac:dyDescent="0.2">
      <c r="J69" s="963">
        <v>2014</v>
      </c>
      <c r="K69" s="652">
        <f>K70</f>
        <v>12</v>
      </c>
      <c r="AF69" s="963">
        <v>2014</v>
      </c>
      <c r="AG69" s="652">
        <f t="shared" si="45"/>
        <v>12</v>
      </c>
    </row>
    <row r="70" spans="2:33" x14ac:dyDescent="0.2">
      <c r="J70" s="964">
        <v>2015</v>
      </c>
      <c r="K70" s="1640">
        <v>12</v>
      </c>
      <c r="AF70" s="963">
        <v>2015</v>
      </c>
      <c r="AG70" s="652">
        <f t="shared" si="45"/>
        <v>12</v>
      </c>
    </row>
    <row r="71" spans="2:33" x14ac:dyDescent="0.2">
      <c r="B71" s="70"/>
      <c r="D71" s="70"/>
      <c r="J71" s="963">
        <v>2016</v>
      </c>
      <c r="K71" s="652">
        <f>K70+($K$75-$K$70)/($J$75-$J$70)</f>
        <v>11.5</v>
      </c>
      <c r="AF71" s="963">
        <v>2016</v>
      </c>
      <c r="AG71" s="651">
        <f t="shared" si="45"/>
        <v>11.5</v>
      </c>
    </row>
    <row r="72" spans="2:33" x14ac:dyDescent="0.2">
      <c r="B72" s="70"/>
      <c r="D72" s="70"/>
      <c r="J72" s="963">
        <v>2017</v>
      </c>
      <c r="K72" s="652">
        <f>K71+($K$75-$K$70)/($J$75-$J$70)</f>
        <v>11</v>
      </c>
      <c r="AF72" s="963">
        <v>2017</v>
      </c>
      <c r="AG72" s="652">
        <f t="shared" si="45"/>
        <v>11</v>
      </c>
    </row>
    <row r="73" spans="2:33" x14ac:dyDescent="0.2">
      <c r="B73" s="70"/>
      <c r="D73" s="70"/>
      <c r="J73" s="963">
        <v>2018</v>
      </c>
      <c r="K73" s="652">
        <f>K72+($K$75-$K$70)/($J$75-$J$70)</f>
        <v>10.5</v>
      </c>
      <c r="AF73" s="963">
        <v>2018</v>
      </c>
      <c r="AG73" s="652">
        <f t="shared" si="45"/>
        <v>10.5</v>
      </c>
    </row>
    <row r="74" spans="2:33" x14ac:dyDescent="0.2">
      <c r="B74" s="70"/>
      <c r="D74" s="70"/>
      <c r="J74" s="963">
        <v>2019</v>
      </c>
      <c r="K74" s="1640">
        <v>10</v>
      </c>
      <c r="AF74" s="963">
        <v>2019</v>
      </c>
      <c r="AG74" s="652">
        <f t="shared" si="45"/>
        <v>10</v>
      </c>
    </row>
    <row r="75" spans="2:33" x14ac:dyDescent="0.2">
      <c r="B75" s="70"/>
      <c r="D75" s="70"/>
      <c r="J75" s="964">
        <v>2020</v>
      </c>
      <c r="K75" s="652">
        <f>K74+($K$80-$K$74)/($J$80-$J$74)</f>
        <v>9.5</v>
      </c>
      <c r="AF75" s="963">
        <v>2020</v>
      </c>
      <c r="AG75" s="652">
        <f t="shared" si="45"/>
        <v>9.5</v>
      </c>
    </row>
    <row r="76" spans="2:33" x14ac:dyDescent="0.2">
      <c r="B76" s="70"/>
      <c r="D76" s="70"/>
      <c r="J76" s="963">
        <v>2021</v>
      </c>
      <c r="K76" s="652">
        <f t="shared" ref="K76:K79" si="46">K75+($K$80-$K$74)/($J$80-$J$74)</f>
        <v>9</v>
      </c>
      <c r="AF76" s="963">
        <v>2021</v>
      </c>
      <c r="AG76" s="652">
        <f t="shared" si="45"/>
        <v>9</v>
      </c>
    </row>
    <row r="77" spans="2:33" x14ac:dyDescent="0.2">
      <c r="B77" s="70"/>
      <c r="D77" s="70"/>
      <c r="J77" s="963">
        <v>2022</v>
      </c>
      <c r="K77" s="652">
        <f t="shared" si="46"/>
        <v>8.5</v>
      </c>
      <c r="AF77" s="963">
        <v>2022</v>
      </c>
      <c r="AG77" s="652">
        <f t="shared" si="45"/>
        <v>8.5</v>
      </c>
    </row>
    <row r="78" spans="2:33" x14ac:dyDescent="0.2">
      <c r="B78" s="70"/>
      <c r="D78" s="70"/>
      <c r="J78" s="963">
        <v>2023</v>
      </c>
      <c r="K78" s="652">
        <f t="shared" si="46"/>
        <v>8</v>
      </c>
      <c r="AF78" s="963">
        <v>2023</v>
      </c>
      <c r="AG78" s="652">
        <f t="shared" si="45"/>
        <v>8</v>
      </c>
    </row>
    <row r="79" spans="2:33" x14ac:dyDescent="0.2">
      <c r="B79" s="70"/>
      <c r="D79" s="70"/>
      <c r="J79" s="963">
        <v>2024</v>
      </c>
      <c r="K79" s="652">
        <f t="shared" si="46"/>
        <v>7.5</v>
      </c>
      <c r="AF79" s="963">
        <v>2024</v>
      </c>
      <c r="AG79" s="652">
        <f t="shared" si="45"/>
        <v>7.5</v>
      </c>
    </row>
    <row r="80" spans="2:33" x14ac:dyDescent="0.2">
      <c r="B80" s="70"/>
      <c r="D80" s="70"/>
      <c r="J80" s="964">
        <v>2025</v>
      </c>
      <c r="K80" s="1640">
        <v>7</v>
      </c>
      <c r="AF80" s="963">
        <v>2025</v>
      </c>
      <c r="AG80" s="652">
        <f t="shared" si="45"/>
        <v>7</v>
      </c>
    </row>
    <row r="81" spans="2:33" x14ac:dyDescent="0.2">
      <c r="B81" s="70"/>
      <c r="D81" s="70"/>
      <c r="J81" s="963">
        <v>2026</v>
      </c>
      <c r="K81" s="652">
        <f>K80+($K$105-$K$80)/($J$105-$J$80)</f>
        <v>6.88</v>
      </c>
      <c r="AF81" s="963">
        <v>2026</v>
      </c>
      <c r="AG81" s="652">
        <f t="shared" si="45"/>
        <v>6.88</v>
      </c>
    </row>
    <row r="82" spans="2:33" x14ac:dyDescent="0.2">
      <c r="B82" s="70"/>
      <c r="D82" s="70"/>
      <c r="J82" s="963">
        <v>2027</v>
      </c>
      <c r="K82" s="652">
        <f t="shared" ref="K82:K104" si="47">K81+($K$105-$K$80)/($J$105-$J$80)</f>
        <v>6.76</v>
      </c>
      <c r="AF82" s="963">
        <v>2027</v>
      </c>
      <c r="AG82" s="652">
        <f t="shared" si="45"/>
        <v>6.76</v>
      </c>
    </row>
    <row r="83" spans="2:33" x14ac:dyDescent="0.2">
      <c r="B83" s="70"/>
      <c r="D83" s="70"/>
      <c r="J83" s="963">
        <v>2028</v>
      </c>
      <c r="K83" s="652">
        <f t="shared" si="47"/>
        <v>6.64</v>
      </c>
      <c r="AF83" s="963">
        <v>2028</v>
      </c>
      <c r="AG83" s="652">
        <f t="shared" si="45"/>
        <v>6.64</v>
      </c>
    </row>
    <row r="84" spans="2:33" x14ac:dyDescent="0.2">
      <c r="B84" s="70"/>
      <c r="D84" s="70"/>
      <c r="J84" s="963">
        <v>2029</v>
      </c>
      <c r="K84" s="652">
        <f t="shared" si="47"/>
        <v>6.52</v>
      </c>
      <c r="AF84" s="963">
        <v>2029</v>
      </c>
      <c r="AG84" s="652">
        <f t="shared" si="45"/>
        <v>6.52</v>
      </c>
    </row>
    <row r="85" spans="2:33" x14ac:dyDescent="0.2">
      <c r="B85" s="70"/>
      <c r="D85" s="70"/>
      <c r="J85" s="964">
        <v>2030</v>
      </c>
      <c r="K85" s="652">
        <f t="shared" si="47"/>
        <v>6.3999999999999995</v>
      </c>
      <c r="AF85" s="963">
        <v>2030</v>
      </c>
      <c r="AG85" s="652">
        <f t="shared" si="45"/>
        <v>6.3999999999999995</v>
      </c>
    </row>
    <row r="86" spans="2:33" x14ac:dyDescent="0.2">
      <c r="B86" s="70"/>
      <c r="D86" s="70"/>
      <c r="J86" s="963">
        <v>2031</v>
      </c>
      <c r="K86" s="652">
        <f t="shared" si="47"/>
        <v>6.2799999999999994</v>
      </c>
      <c r="AF86" s="963">
        <v>2031</v>
      </c>
      <c r="AG86" s="652">
        <f t="shared" si="45"/>
        <v>6.2799999999999994</v>
      </c>
    </row>
    <row r="87" spans="2:33" x14ac:dyDescent="0.2">
      <c r="B87" s="70"/>
      <c r="D87" s="70"/>
      <c r="J87" s="963">
        <v>2032</v>
      </c>
      <c r="K87" s="652">
        <f t="shared" si="47"/>
        <v>6.1599999999999993</v>
      </c>
      <c r="AF87" s="963">
        <v>2032</v>
      </c>
      <c r="AG87" s="652">
        <f t="shared" si="45"/>
        <v>6.1599999999999993</v>
      </c>
    </row>
    <row r="88" spans="2:33" x14ac:dyDescent="0.2">
      <c r="B88" s="70"/>
      <c r="D88" s="70"/>
      <c r="J88" s="963">
        <v>2033</v>
      </c>
      <c r="K88" s="652">
        <f t="shared" si="47"/>
        <v>6.0399999999999991</v>
      </c>
      <c r="AF88" s="963">
        <v>2033</v>
      </c>
      <c r="AG88" s="652">
        <f t="shared" si="45"/>
        <v>6.0399999999999991</v>
      </c>
    </row>
    <row r="89" spans="2:33" x14ac:dyDescent="0.2">
      <c r="B89" s="70"/>
      <c r="D89" s="70"/>
      <c r="J89" s="963">
        <v>2034</v>
      </c>
      <c r="K89" s="652">
        <f t="shared" si="47"/>
        <v>5.919999999999999</v>
      </c>
      <c r="AF89" s="963">
        <v>2034</v>
      </c>
      <c r="AG89" s="652">
        <f t="shared" si="45"/>
        <v>5.919999999999999</v>
      </c>
    </row>
    <row r="90" spans="2:33" x14ac:dyDescent="0.2">
      <c r="B90" s="70"/>
      <c r="D90" s="70"/>
      <c r="J90" s="964">
        <v>2035</v>
      </c>
      <c r="K90" s="652">
        <f t="shared" si="47"/>
        <v>5.7999999999999989</v>
      </c>
      <c r="AF90" s="963">
        <v>2035</v>
      </c>
      <c r="AG90" s="652">
        <f t="shared" si="45"/>
        <v>5.7999999999999989</v>
      </c>
    </row>
    <row r="91" spans="2:33" x14ac:dyDescent="0.2">
      <c r="B91" s="70"/>
      <c r="D91" s="70"/>
      <c r="J91" s="963">
        <v>2036</v>
      </c>
      <c r="K91" s="652">
        <f t="shared" si="47"/>
        <v>5.6799999999999988</v>
      </c>
      <c r="AF91" s="963">
        <v>2036</v>
      </c>
      <c r="AG91" s="652">
        <f t="shared" si="45"/>
        <v>5.6799999999999988</v>
      </c>
    </row>
    <row r="92" spans="2:33" x14ac:dyDescent="0.2">
      <c r="B92" s="70"/>
      <c r="D92" s="70"/>
      <c r="J92" s="963">
        <v>2037</v>
      </c>
      <c r="K92" s="652">
        <f t="shared" si="47"/>
        <v>5.5599999999999987</v>
      </c>
      <c r="AF92" s="963">
        <v>2037</v>
      </c>
      <c r="AG92" s="652">
        <f t="shared" si="45"/>
        <v>5.5599999999999987</v>
      </c>
    </row>
    <row r="93" spans="2:33" x14ac:dyDescent="0.2">
      <c r="B93" s="70"/>
      <c r="D93" s="70"/>
      <c r="J93" s="963">
        <v>2038</v>
      </c>
      <c r="K93" s="652">
        <f t="shared" si="47"/>
        <v>5.4399999999999986</v>
      </c>
      <c r="AF93" s="963">
        <v>2038</v>
      </c>
      <c r="AG93" s="652">
        <f t="shared" si="45"/>
        <v>5.4399999999999986</v>
      </c>
    </row>
    <row r="94" spans="2:33" x14ac:dyDescent="0.2">
      <c r="B94" s="70"/>
      <c r="D94" s="70"/>
      <c r="J94" s="963">
        <v>2039</v>
      </c>
      <c r="K94" s="652">
        <f t="shared" si="47"/>
        <v>5.3199999999999985</v>
      </c>
      <c r="AF94" s="963">
        <v>2039</v>
      </c>
      <c r="AG94" s="652">
        <f t="shared" si="45"/>
        <v>5.3199999999999985</v>
      </c>
    </row>
    <row r="95" spans="2:33" x14ac:dyDescent="0.2">
      <c r="J95" s="964">
        <v>2040</v>
      </c>
      <c r="K95" s="652">
        <f t="shared" si="47"/>
        <v>5.1999999999999984</v>
      </c>
      <c r="AF95" s="963">
        <v>2040</v>
      </c>
      <c r="AG95" s="652">
        <f t="shared" si="45"/>
        <v>5.1999999999999984</v>
      </c>
    </row>
    <row r="96" spans="2:33" x14ac:dyDescent="0.2">
      <c r="J96" s="963">
        <v>2041</v>
      </c>
      <c r="K96" s="652">
        <f t="shared" si="47"/>
        <v>5.0799999999999983</v>
      </c>
      <c r="AF96" s="963">
        <v>2041</v>
      </c>
      <c r="AG96" s="652">
        <f t="shared" si="45"/>
        <v>5.0799999999999983</v>
      </c>
    </row>
    <row r="97" spans="10:33" x14ac:dyDescent="0.2">
      <c r="J97" s="963">
        <v>2042</v>
      </c>
      <c r="K97" s="652">
        <f t="shared" si="47"/>
        <v>4.9599999999999982</v>
      </c>
      <c r="AF97" s="963">
        <v>2042</v>
      </c>
      <c r="AG97" s="652">
        <f t="shared" si="45"/>
        <v>4.9599999999999982</v>
      </c>
    </row>
    <row r="98" spans="10:33" x14ac:dyDescent="0.2">
      <c r="J98" s="963">
        <v>2043</v>
      </c>
      <c r="K98" s="652">
        <f t="shared" si="47"/>
        <v>4.8399999999999981</v>
      </c>
      <c r="AF98" s="963">
        <v>2043</v>
      </c>
      <c r="AG98" s="652">
        <f t="shared" si="45"/>
        <v>4.8399999999999981</v>
      </c>
    </row>
    <row r="99" spans="10:33" x14ac:dyDescent="0.2">
      <c r="J99" s="963">
        <v>2044</v>
      </c>
      <c r="K99" s="652">
        <f t="shared" si="47"/>
        <v>4.719999999999998</v>
      </c>
      <c r="AF99" s="963">
        <v>2044</v>
      </c>
      <c r="AG99" s="652">
        <f t="shared" si="45"/>
        <v>4.719999999999998</v>
      </c>
    </row>
    <row r="100" spans="10:33" x14ac:dyDescent="0.2">
      <c r="J100" s="964">
        <v>2045</v>
      </c>
      <c r="K100" s="652">
        <f t="shared" si="47"/>
        <v>4.5999999999999979</v>
      </c>
      <c r="AF100" s="963">
        <v>2045</v>
      </c>
      <c r="AG100" s="652">
        <f t="shared" si="45"/>
        <v>4.5999999999999979</v>
      </c>
    </row>
    <row r="101" spans="10:33" x14ac:dyDescent="0.2">
      <c r="J101" s="963">
        <v>2046</v>
      </c>
      <c r="K101" s="652">
        <f t="shared" si="47"/>
        <v>4.4799999999999978</v>
      </c>
      <c r="AF101" s="963">
        <v>2046</v>
      </c>
      <c r="AG101" s="652">
        <f t="shared" si="45"/>
        <v>4.4799999999999978</v>
      </c>
    </row>
    <row r="102" spans="10:33" x14ac:dyDescent="0.2">
      <c r="J102" s="963">
        <v>2047</v>
      </c>
      <c r="K102" s="652">
        <f t="shared" si="47"/>
        <v>4.3599999999999977</v>
      </c>
      <c r="AF102" s="963">
        <v>2047</v>
      </c>
      <c r="AG102" s="652">
        <f t="shared" si="45"/>
        <v>4.3599999999999977</v>
      </c>
    </row>
    <row r="103" spans="10:33" x14ac:dyDescent="0.2">
      <c r="J103" s="963">
        <v>2048</v>
      </c>
      <c r="K103" s="652">
        <f t="shared" si="47"/>
        <v>4.2399999999999975</v>
      </c>
      <c r="AF103" s="963">
        <v>2048</v>
      </c>
      <c r="AG103" s="652">
        <f t="shared" si="45"/>
        <v>4.2399999999999975</v>
      </c>
    </row>
    <row r="104" spans="10:33" x14ac:dyDescent="0.2">
      <c r="J104" s="963">
        <v>2049</v>
      </c>
      <c r="K104" s="652">
        <f t="shared" si="47"/>
        <v>4.1199999999999974</v>
      </c>
      <c r="AF104" s="963">
        <v>2049</v>
      </c>
      <c r="AG104" s="652">
        <f t="shared" si="45"/>
        <v>4.1199999999999974</v>
      </c>
    </row>
    <row r="105" spans="10:33" ht="13.5" thickBot="1" x14ac:dyDescent="0.25">
      <c r="J105" s="965">
        <v>2050</v>
      </c>
      <c r="K105" s="1641">
        <v>4</v>
      </c>
      <c r="AF105" s="1286">
        <v>2050</v>
      </c>
      <c r="AG105" s="653">
        <f t="shared" si="45"/>
        <v>4</v>
      </c>
    </row>
  </sheetData>
  <mergeCells count="10">
    <mergeCell ref="W7:AP7"/>
    <mergeCell ref="A7:T7"/>
    <mergeCell ref="B8:I8"/>
    <mergeCell ref="L8:S8"/>
    <mergeCell ref="B9:I9"/>
    <mergeCell ref="L9:S9"/>
    <mergeCell ref="AH8:AO8"/>
    <mergeCell ref="AH9:AO9"/>
    <mergeCell ref="X8:AE8"/>
    <mergeCell ref="X9:AE9"/>
  </mergeCells>
  <phoneticPr fontId="0" type="noConversion"/>
  <dataValidations disablePrompts="1" count="1">
    <dataValidation type="list" allowBlank="1" showInputMessage="1" showErrorMessage="1" sqref="U7" xr:uid="{20EE70C3-07EF-453D-99A9-C6D4CD5FE538}">
      <formula1>TorF</formula1>
    </dataValidation>
  </dataValidations>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14" zoomScale="80" zoomScaleNormal="80" workbookViewId="0">
      <pane xSplit="1" topLeftCell="B1" activePane="topRight" state="frozen"/>
      <selection pane="topRight" activeCell="AD24" sqref="AD24"/>
    </sheetView>
  </sheetViews>
  <sheetFormatPr defaultColWidth="8.42578125" defaultRowHeight="12.75" x14ac:dyDescent="0.2"/>
  <cols>
    <col min="1" max="1" width="6" style="227" customWidth="1"/>
    <col min="2" max="2" width="11.140625" style="227" customWidth="1"/>
    <col min="3" max="3" width="12" style="227" customWidth="1"/>
    <col min="4" max="4" width="13.5703125" style="227" bestFit="1" customWidth="1"/>
    <col min="5" max="5" width="11" style="227" customWidth="1"/>
    <col min="6" max="6" width="13.5703125" style="227" bestFit="1" customWidth="1"/>
    <col min="7" max="7" width="10.85546875" style="227" customWidth="1"/>
    <col min="8" max="8" width="12.140625" style="227" customWidth="1"/>
    <col min="9" max="9" width="11.7109375" style="227" customWidth="1"/>
    <col min="10" max="10" width="9.7109375" style="227" customWidth="1"/>
    <col min="11" max="11" width="10.140625" style="227" customWidth="1"/>
    <col min="12" max="13" width="12.28515625" style="227" customWidth="1"/>
    <col min="14" max="14" width="11.5703125" style="227" customWidth="1"/>
    <col min="15" max="16" width="11.28515625" style="227" customWidth="1"/>
    <col min="17" max="17" width="10.28515625" style="227" customWidth="1"/>
    <col min="18" max="18" width="10.42578125" style="227" customWidth="1"/>
    <col min="19" max="20" width="9.85546875" style="227" customWidth="1"/>
    <col min="21" max="21" width="10.42578125" style="227" customWidth="1"/>
    <col min="22" max="22" width="8.42578125" style="227" customWidth="1"/>
    <col min="23" max="23" width="10" style="227" customWidth="1"/>
    <col min="24" max="24" width="10.7109375" style="227" customWidth="1"/>
    <col min="25" max="25" width="9.7109375" style="227" customWidth="1"/>
    <col min="26" max="26" width="9.85546875" style="227" customWidth="1"/>
    <col min="27" max="27" width="11.28515625" style="227" customWidth="1"/>
    <col min="28" max="28" width="10" style="227" customWidth="1"/>
    <col min="29" max="29" width="11.140625" style="227" customWidth="1"/>
    <col min="30" max="30" width="10.5703125" style="227" customWidth="1"/>
    <col min="31" max="31" width="10" style="227" customWidth="1"/>
    <col min="32" max="32" width="11.85546875" style="227" customWidth="1"/>
    <col min="33" max="34" width="8.42578125" style="227" customWidth="1"/>
    <col min="35" max="36" width="8.42578125" style="323" customWidth="1"/>
    <col min="37" max="37" width="9.42578125" style="323" customWidth="1"/>
    <col min="38" max="39" width="8.42578125" style="323" customWidth="1"/>
    <col min="40" max="40" width="9.5703125" style="227" customWidth="1"/>
    <col min="41" max="41" width="10.42578125" style="227" customWidth="1"/>
    <col min="42" max="42" width="9.28515625" style="227" customWidth="1"/>
    <col min="43" max="43" width="9.42578125" style="227" customWidth="1"/>
    <col min="44" max="44" width="8.42578125" style="227"/>
    <col min="45" max="45" width="11.140625" style="227" customWidth="1"/>
    <col min="46" max="46" width="9" style="227" customWidth="1"/>
    <col min="47" max="47" width="8.42578125" style="227"/>
    <col min="48" max="48" width="9" style="227" customWidth="1"/>
    <col min="49" max="50" width="8.42578125" style="227"/>
    <col min="51" max="52" width="8.5703125" style="227" customWidth="1"/>
    <col min="53" max="53" width="9.28515625" style="227" customWidth="1"/>
    <col min="54" max="61" width="8.5703125" style="227" customWidth="1"/>
    <col min="62" max="62" width="13" style="227" customWidth="1"/>
    <col min="63" max="16384" width="8.42578125" style="227"/>
  </cols>
  <sheetData>
    <row r="1" spans="2:64" ht="15.75" x14ac:dyDescent="0.25">
      <c r="B1" s="54" t="s">
        <v>239</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49" t="s">
        <v>53</v>
      </c>
      <c r="C3" s="1550"/>
      <c r="D3" s="236">
        <f>'Run Model'!C6</f>
        <v>7.4999999999999997E-2</v>
      </c>
      <c r="F3"/>
      <c r="G3"/>
      <c r="H3"/>
      <c r="L3" s="227" t="s">
        <v>452</v>
      </c>
      <c r="N3" s="227" t="s">
        <v>127</v>
      </c>
      <c r="P3" s="1532" t="s">
        <v>204</v>
      </c>
      <c r="Q3" s="1533"/>
      <c r="R3" s="1533"/>
      <c r="S3" s="1533"/>
      <c r="T3" s="1533"/>
      <c r="U3" s="1534"/>
      <c r="Y3" s="216"/>
      <c r="AI3" s="227"/>
      <c r="AJ3" s="227"/>
      <c r="AK3" s="227"/>
      <c r="AL3" s="227"/>
      <c r="AM3" s="227"/>
    </row>
    <row r="4" spans="2:64" x14ac:dyDescent="0.2">
      <c r="B4" s="1549" t="s">
        <v>104</v>
      </c>
      <c r="C4" s="1550"/>
      <c r="D4" s="225" t="str">
        <f>'Run Model'!C7</f>
        <v>Moderate</v>
      </c>
      <c r="F4"/>
      <c r="G4"/>
      <c r="H4"/>
      <c r="N4" s="227" t="s">
        <v>126</v>
      </c>
      <c r="P4" s="1546">
        <v>44070.776064814818</v>
      </c>
      <c r="Q4" s="1533"/>
      <c r="R4" s="1533"/>
      <c r="S4" s="1533"/>
      <c r="T4" s="1533"/>
      <c r="U4" s="1534"/>
      <c r="V4" s="227" t="s">
        <v>186</v>
      </c>
      <c r="AI4" s="227"/>
      <c r="AJ4" s="227"/>
      <c r="AK4" s="227"/>
      <c r="AL4" s="227"/>
      <c r="AM4" s="227"/>
    </row>
    <row r="5" spans="2:64" x14ac:dyDescent="0.2">
      <c r="B5" s="1549" t="s">
        <v>118</v>
      </c>
      <c r="C5" s="1550"/>
      <c r="D5" s="225" t="s">
        <v>15</v>
      </c>
      <c r="F5"/>
      <c r="G5"/>
      <c r="H5"/>
      <c r="P5" s="1546">
        <v>44070.776076388887</v>
      </c>
      <c r="Q5" s="1533"/>
      <c r="R5" s="1533"/>
      <c r="S5" s="1533"/>
      <c r="T5" s="1533"/>
      <c r="U5" s="1534"/>
      <c r="V5" s="227" t="s">
        <v>15</v>
      </c>
      <c r="AI5" s="227"/>
      <c r="AJ5" s="227"/>
      <c r="AK5" s="227"/>
      <c r="AL5" s="227"/>
      <c r="AM5" s="227"/>
    </row>
    <row r="6" spans="2:64" x14ac:dyDescent="0.2">
      <c r="B6" s="1549" t="s">
        <v>68</v>
      </c>
      <c r="C6" s="1550"/>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5.75" thickBot="1" x14ac:dyDescent="0.3">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30"/>
      <c r="H9" s="271"/>
      <c r="I9" s="271"/>
      <c r="J9" s="1520" t="s">
        <v>76</v>
      </c>
      <c r="K9" s="1521"/>
      <c r="L9" s="1541" t="s">
        <v>83</v>
      </c>
      <c r="M9" s="1542"/>
      <c r="N9" s="1547" t="s">
        <v>109</v>
      </c>
      <c r="O9" s="1547"/>
      <c r="P9" s="1547"/>
      <c r="Q9" s="1548"/>
      <c r="R9" s="591"/>
      <c r="S9" s="241"/>
      <c r="T9" s="242"/>
      <c r="AD9" s="785"/>
      <c r="AG9" s="243"/>
      <c r="AH9" s="541"/>
      <c r="AI9" s="541"/>
      <c r="AJ9" s="244"/>
      <c r="BF9" s="245"/>
      <c r="BG9" s="245"/>
      <c r="BH9" s="245"/>
      <c r="BI9" s="245"/>
      <c r="BJ9" s="245"/>
      <c r="BK9" s="245"/>
    </row>
    <row r="10" spans="2:64" s="240" customFormat="1" ht="39" customHeight="1" thickBot="1" x14ac:dyDescent="0.25">
      <c r="B10" s="273"/>
      <c r="C10" s="591" t="s">
        <v>75</v>
      </c>
      <c r="D10" s="591"/>
      <c r="E10" s="591"/>
      <c r="F10" s="731" t="s">
        <v>211</v>
      </c>
      <c r="G10" s="732" t="s">
        <v>210</v>
      </c>
      <c r="H10" s="835" t="s">
        <v>264</v>
      </c>
      <c r="I10" s="741" t="s">
        <v>81</v>
      </c>
      <c r="J10" s="1113" t="s">
        <v>283</v>
      </c>
      <c r="K10" s="1114" t="s">
        <v>284</v>
      </c>
      <c r="L10" s="574" t="s">
        <v>113</v>
      </c>
      <c r="M10" s="575" t="s">
        <v>84</v>
      </c>
      <c r="N10" s="572" t="s">
        <v>95</v>
      </c>
      <c r="O10" s="573" t="s">
        <v>112</v>
      </c>
      <c r="P10" s="573" t="s">
        <v>120</v>
      </c>
      <c r="Q10" s="575" t="s">
        <v>108</v>
      </c>
      <c r="R10" s="242"/>
      <c r="AD10" s="785"/>
      <c r="AE10" s="243"/>
      <c r="AF10" s="244"/>
      <c r="BD10" s="829"/>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5" t="str">
        <f t="shared" ref="F11:O16" si="1">INDEX(TECH_OPT_PARAMS_Cls1,MATCH($B11,TECH_OPT_ROWS_Cls1,0),MATCH(F$10,TECH_OPT_COLS_Cls1,0))</f>
        <v>Diesel</v>
      </c>
      <c r="G11" s="729" t="str">
        <f t="shared" si="1"/>
        <v>N/A</v>
      </c>
      <c r="H11" s="900" t="b">
        <f>INDEX(TECH_OPT_PARAMS_Cls1,MATCH($B11,TECH_OPT_ROWS_Cls1,0),MATCH(H$10,TECH_OPT_COLS_Cls1,0))</f>
        <v>0</v>
      </c>
      <c r="I11" s="742">
        <f t="shared" si="1"/>
        <v>0</v>
      </c>
      <c r="J11" s="988">
        <f t="shared" si="1"/>
        <v>0</v>
      </c>
      <c r="K11" s="989">
        <f t="shared" si="1"/>
        <v>0</v>
      </c>
      <c r="L11" s="988">
        <f t="shared" si="1"/>
        <v>0</v>
      </c>
      <c r="M11" s="989">
        <f t="shared" si="1"/>
        <v>0</v>
      </c>
      <c r="N11" s="992">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98" t="b">
        <f t="shared" si="1"/>
        <v>0</v>
      </c>
      <c r="I12" s="743">
        <f t="shared" si="1"/>
        <v>2025</v>
      </c>
      <c r="J12" s="990">
        <f t="shared" si="1"/>
        <v>0</v>
      </c>
      <c r="K12" s="991">
        <f t="shared" si="1"/>
        <v>0.5</v>
      </c>
      <c r="L12" s="990">
        <f t="shared" si="1"/>
        <v>5</v>
      </c>
      <c r="M12" s="991">
        <f t="shared" si="1"/>
        <v>5</v>
      </c>
      <c r="N12" s="739">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98" t="b">
        <f t="shared" si="1"/>
        <v>0</v>
      </c>
      <c r="I13" s="743">
        <f t="shared" si="1"/>
        <v>2025</v>
      </c>
      <c r="J13" s="1260">
        <f t="shared" si="1"/>
        <v>0</v>
      </c>
      <c r="K13" s="991">
        <f t="shared" si="1"/>
        <v>0.5</v>
      </c>
      <c r="L13" s="990">
        <f t="shared" si="1"/>
        <v>5</v>
      </c>
      <c r="M13" s="991">
        <f t="shared" si="1"/>
        <v>5</v>
      </c>
      <c r="N13" s="739">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98" t="b">
        <f t="shared" si="1"/>
        <v>1</v>
      </c>
      <c r="I14" s="743">
        <f t="shared" si="1"/>
        <v>2025</v>
      </c>
      <c r="J14" s="1260">
        <f t="shared" si="1"/>
        <v>0</v>
      </c>
      <c r="K14" s="991">
        <f t="shared" si="1"/>
        <v>0.5</v>
      </c>
      <c r="L14" s="990">
        <f t="shared" si="1"/>
        <v>5</v>
      </c>
      <c r="M14" s="991">
        <f t="shared" si="1"/>
        <v>5</v>
      </c>
      <c r="N14" s="739">
        <f t="shared" si="1"/>
        <v>0</v>
      </c>
      <c r="O14" s="237">
        <f t="shared" si="1"/>
        <v>350</v>
      </c>
      <c r="P14" s="709">
        <f>$D$6*('Inputs 7&amp;8 SU'!$N11/('Inputs 7&amp;8 SU'!$O11*1000))/12</f>
        <v>0</v>
      </c>
      <c r="Q14" s="710">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98" t="b">
        <f t="shared" si="1"/>
        <v>0</v>
      </c>
      <c r="I15" s="743">
        <f t="shared" si="1"/>
        <v>2025</v>
      </c>
      <c r="J15" s="1260">
        <f t="shared" si="1"/>
        <v>0</v>
      </c>
      <c r="K15" s="991">
        <f t="shared" si="1"/>
        <v>0.5</v>
      </c>
      <c r="L15" s="990">
        <f t="shared" si="1"/>
        <v>5</v>
      </c>
      <c r="M15" s="991">
        <f t="shared" si="1"/>
        <v>5</v>
      </c>
      <c r="N15" s="739">
        <f t="shared" si="1"/>
        <v>0</v>
      </c>
      <c r="O15" s="237">
        <f t="shared" si="1"/>
        <v>350</v>
      </c>
      <c r="P15" s="709">
        <f>$D$6*('Inputs 7&amp;8 SU'!$N12/('Inputs 7&amp;8 SU'!$O12*1000))/12</f>
        <v>0</v>
      </c>
      <c r="Q15" s="710">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3.5" thickBot="1" x14ac:dyDescent="0.25">
      <c r="B16" s="590" t="s">
        <v>206</v>
      </c>
      <c r="C16" s="580">
        <f t="shared" si="0"/>
        <v>0</v>
      </c>
      <c r="D16" s="581"/>
      <c r="E16" s="581"/>
      <c r="F16" s="263" t="str">
        <f t="shared" si="1"/>
        <v>Diesel</v>
      </c>
      <c r="G16" s="262" t="str">
        <f t="shared" si="1"/>
        <v>N/A</v>
      </c>
      <c r="H16" s="899" t="b">
        <f t="shared" si="1"/>
        <v>0</v>
      </c>
      <c r="I16" s="744">
        <f t="shared" si="1"/>
        <v>2025</v>
      </c>
      <c r="J16" s="263">
        <f t="shared" si="1"/>
        <v>0</v>
      </c>
      <c r="K16" s="262">
        <f t="shared" si="1"/>
        <v>0</v>
      </c>
      <c r="L16" s="263">
        <f t="shared" si="1"/>
        <v>5</v>
      </c>
      <c r="M16" s="262">
        <f t="shared" si="1"/>
        <v>5</v>
      </c>
      <c r="N16" s="740">
        <f t="shared" si="1"/>
        <v>0</v>
      </c>
      <c r="O16" s="264">
        <f t="shared" si="1"/>
        <v>350</v>
      </c>
      <c r="P16" s="711">
        <f>$D$6*('Inputs 7&amp;8 SU'!$N13/('Inputs 7&amp;8 SU'!$O13*1000))/12</f>
        <v>0</v>
      </c>
      <c r="Q16" s="712">
        <f>$D$6*('Inputs 7&amp;8 Day'!$N13/('Inputs 7&amp;8 Day'!$O13*1000))/12</f>
        <v>0</v>
      </c>
      <c r="R16" s="260"/>
      <c r="Y16" s="240">
        <f>INDEX(CDRANGE_CLS1,MATCH($A38,$A$24:$A$67,0),MATCH(AB$20,$B$20:$G$20,0))</f>
        <v>0</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c r="AY17"/>
      <c r="AZ17"/>
      <c r="BA17"/>
      <c r="BB17"/>
      <c r="BC17"/>
      <c r="BD17"/>
      <c r="BE17"/>
      <c r="BF17"/>
      <c r="BG17"/>
      <c r="BH17"/>
    </row>
    <row r="18" spans="1:60" ht="13.5" thickBot="1" x14ac:dyDescent="0.25">
      <c r="B18" s="229"/>
      <c r="D18" s="269"/>
      <c r="T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INDEX(AdoptCols,'7&amp;8 Sleep'!AU18)</f>
        <v>Moderate</v>
      </c>
      <c r="AW18" s="792"/>
      <c r="AX18"/>
      <c r="AY18"/>
      <c r="AZ18"/>
      <c r="BA18"/>
      <c r="BB18"/>
      <c r="BC18"/>
      <c r="BD18"/>
      <c r="BE18"/>
      <c r="BF18"/>
      <c r="BG18"/>
      <c r="BH18"/>
    </row>
    <row r="19" spans="1:60" s="29" customFormat="1" ht="15.75" thickBot="1" x14ac:dyDescent="0.3">
      <c r="A19" s="805"/>
      <c r="B19" s="1543" t="s">
        <v>234</v>
      </c>
      <c r="C19" s="1544"/>
      <c r="D19" s="1544"/>
      <c r="E19" s="1544"/>
      <c r="F19" s="1544"/>
      <c r="G19" s="1545"/>
      <c r="H19" s="1543" t="s">
        <v>220</v>
      </c>
      <c r="I19" s="1544"/>
      <c r="J19" s="1544"/>
      <c r="K19" s="1544"/>
      <c r="L19" s="1544"/>
      <c r="M19" s="1545"/>
      <c r="N19" s="1543" t="s">
        <v>71</v>
      </c>
      <c r="O19" s="1544"/>
      <c r="P19" s="1544"/>
      <c r="Q19" s="1544"/>
      <c r="R19" s="1544"/>
      <c r="S19" s="1545"/>
      <c r="T19" s="1543" t="s">
        <v>107</v>
      </c>
      <c r="U19" s="1544"/>
      <c r="V19" s="1544"/>
      <c r="W19" s="1544"/>
      <c r="X19" s="1545"/>
      <c r="Y19" s="1543" t="s">
        <v>72</v>
      </c>
      <c r="Z19" s="1544"/>
      <c r="AA19" s="1544"/>
      <c r="AB19" s="1544"/>
      <c r="AC19" s="1545"/>
      <c r="AD19" s="1543" t="s">
        <v>92</v>
      </c>
      <c r="AE19" s="1544"/>
      <c r="AF19" s="1544"/>
      <c r="AG19" s="1544"/>
      <c r="AH19" s="1545"/>
      <c r="AI19" s="1543" t="s">
        <v>76</v>
      </c>
      <c r="AJ19" s="1544"/>
      <c r="AK19" s="1544"/>
      <c r="AL19" s="1544"/>
      <c r="AM19" s="1545"/>
      <c r="AN19" s="1543" t="s">
        <v>100</v>
      </c>
      <c r="AO19" s="1544"/>
      <c r="AP19" s="1544"/>
      <c r="AQ19" s="1544"/>
      <c r="AR19" s="1545"/>
      <c r="AS19" s="1543" t="s">
        <v>73</v>
      </c>
      <c r="AT19" s="1544"/>
      <c r="AU19" s="1544"/>
      <c r="AV19" s="1544"/>
      <c r="AW19" s="1545"/>
      <c r="AX19" s="1543" t="s">
        <v>102</v>
      </c>
      <c r="AY19" s="1544"/>
      <c r="AZ19" s="1544"/>
      <c r="BA19" s="1544"/>
      <c r="BB19" s="1545"/>
      <c r="BC19" s="1543" t="s">
        <v>82</v>
      </c>
      <c r="BD19" s="1544"/>
      <c r="BE19" s="1544"/>
      <c r="BF19" s="1544"/>
      <c r="BG19" s="1544"/>
      <c r="BH19" s="1545"/>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136" t="s">
        <v>65</v>
      </c>
      <c r="AJ20" s="1137" t="s">
        <v>66</v>
      </c>
      <c r="AK20" s="1137" t="s">
        <v>67</v>
      </c>
      <c r="AL20" s="1138" t="s">
        <v>205</v>
      </c>
      <c r="AM20" s="1139"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x14ac:dyDescent="0.2">
      <c r="A21" s="767"/>
      <c r="B21" s="1072"/>
      <c r="C21" s="1073"/>
      <c r="D21" s="1073"/>
      <c r="E21" s="1073"/>
      <c r="F21" s="1073"/>
      <c r="G21" s="1074"/>
      <c r="H21" s="1078" t="str">
        <f>IF(INDEX($G$11:$G$16,MATCH(H20,$B$11:$B$16,0))="N/A","Single-fuel","Dual-Fuel")</f>
        <v>Single-fuel</v>
      </c>
      <c r="I21" s="1079" t="str">
        <f t="shared" ref="I21:M21" si="2">IF(INDEX($G$11:$G$16,MATCH(I20,$B$11:$B$16,0))="N/A","Single-fuel","Dual-Fuel")</f>
        <v>Single-fuel</v>
      </c>
      <c r="J21" s="1079" t="str">
        <f t="shared" si="2"/>
        <v>Single-fuel</v>
      </c>
      <c r="K21" s="1079" t="str">
        <f t="shared" si="2"/>
        <v>Single-fuel</v>
      </c>
      <c r="L21" s="1079" t="str">
        <f t="shared" si="2"/>
        <v>Single-fuel</v>
      </c>
      <c r="M21" s="1080" t="str">
        <f t="shared" si="2"/>
        <v>Single-fuel</v>
      </c>
      <c r="N21" s="993" t="str">
        <f>INDEX($F$11:$F$16,MATCH(N20,$B$11:$B$16,0))</f>
        <v>Diesel</v>
      </c>
      <c r="O21" s="994" t="str">
        <f>INDEX($F$11:$F$16,MATCH(O20,$B$11:$B$16,0))</f>
        <v>Diesel</v>
      </c>
      <c r="P21" s="994" t="str">
        <f t="shared" ref="P21" si="3">INDEX($F$11:$F$16,MATCH(P20,$B$11:$B$16,0))</f>
        <v>Diesel</v>
      </c>
      <c r="Q21" s="994" t="str">
        <f t="shared" ref="Q21" si="4">INDEX($F$11:$F$16,MATCH(Q20,$B$11:$B$16,0))</f>
        <v>Electricity</v>
      </c>
      <c r="R21" s="994" t="str">
        <f t="shared" ref="R21" si="5">INDEX($F$11:$F$16,MATCH(R20,$B$11:$B$16,0))</f>
        <v>Hydrogen</v>
      </c>
      <c r="S21" s="995" t="str">
        <f t="shared" ref="S21" si="6">INDEX($F$11:$F$16,MATCH(S20,$B$11:$B$16,0))</f>
        <v>Diesel</v>
      </c>
      <c r="T21" s="1554" t="s">
        <v>117</v>
      </c>
      <c r="U21" s="1555"/>
      <c r="V21" s="1555"/>
      <c r="W21" s="1555"/>
      <c r="X21" s="1556"/>
      <c r="Y21" s="993" t="str">
        <f>INDEX($F$11:$F$16,MATCH(Y20,$B$11:$B$16,0))</f>
        <v>Diesel</v>
      </c>
      <c r="Z21" s="994" t="str">
        <f t="shared" ref="Z21:AC21" si="7">INDEX($F$11:$F$16,MATCH(Z20,$B$11:$B$16,0))</f>
        <v>Diesel</v>
      </c>
      <c r="AA21" s="994" t="str">
        <f t="shared" si="7"/>
        <v>Electricity</v>
      </c>
      <c r="AB21" s="994" t="str">
        <f t="shared" si="7"/>
        <v>Hydrogen</v>
      </c>
      <c r="AC21" s="995" t="str">
        <f t="shared" si="7"/>
        <v>Diesel</v>
      </c>
      <c r="AD21" s="1016">
        <f>INDEX($L$11:$L$16,MATCH(AD20,$B$11:$B$16,0))</f>
        <v>5</v>
      </c>
      <c r="AE21" s="1017">
        <f>INDEX($L$11:$L$16,MATCH(AE20,$B$11:$B$16,0))</f>
        <v>5</v>
      </c>
      <c r="AF21" s="1017">
        <f>INDEX($L$11:$L$16,MATCH(AF20,$B$11:$B$16,0))</f>
        <v>5</v>
      </c>
      <c r="AG21" s="1017">
        <f>INDEX($L$11:$L$16,MATCH(AG20,$B$11:$B$16,0))</f>
        <v>5</v>
      </c>
      <c r="AH21" s="1018">
        <f>INDEX($L$11:$L$16,MATCH(AH20,$B$11:$B$16,0))</f>
        <v>5</v>
      </c>
      <c r="AI21" s="993">
        <f>INDEX($J$11:$J$16,MATCH(AI20,$B$11:$B$16,0))</f>
        <v>0</v>
      </c>
      <c r="AJ21" s="994">
        <f t="shared" ref="AJ21:AM21" si="8">INDEX($J$11:$J$16,MATCH(AJ20,$B$11:$B$16,0))</f>
        <v>0</v>
      </c>
      <c r="AK21" s="994">
        <f t="shared" si="8"/>
        <v>0</v>
      </c>
      <c r="AL21" s="994">
        <f t="shared" si="8"/>
        <v>0</v>
      </c>
      <c r="AM21" s="995">
        <f t="shared" si="8"/>
        <v>0</v>
      </c>
      <c r="AN21" s="993" t="str">
        <f>INDEX($F$11:$F$16,MATCH(AN20,$B$11:$B$16,0))</f>
        <v>Diesel</v>
      </c>
      <c r="AO21" s="994" t="str">
        <f t="shared" ref="AO21" si="9">INDEX($F$11:$F$16,MATCH(AO20,$B$11:$B$16,0))</f>
        <v>Diesel</v>
      </c>
      <c r="AP21" s="994" t="str">
        <f t="shared" ref="AP21" si="10">INDEX($F$11:$F$16,MATCH(AP20,$B$11:$B$16,0))</f>
        <v>Electricity</v>
      </c>
      <c r="AQ21" s="994" t="str">
        <f t="shared" ref="AQ21" si="11">INDEX($F$11:$F$16,MATCH(AQ20,$B$11:$B$16,0))</f>
        <v>Hydrogen</v>
      </c>
      <c r="AR21" s="995" t="str">
        <f t="shared" ref="AR21" si="12">INDEX($F$11:$F$16,MATCH(AR20,$B$11:$B$16,0))</f>
        <v>Diesel</v>
      </c>
      <c r="AS21" s="993" t="str">
        <f>INDEX($F$11:$F$16,MATCH(AS20,$B$11:$B$16,0))</f>
        <v>Diesel</v>
      </c>
      <c r="AT21" s="994" t="str">
        <f t="shared" ref="AT21:AV21" si="13">INDEX($F$11:$F$16,MATCH(AT20,$B$11:$B$16,0))</f>
        <v>Diesel</v>
      </c>
      <c r="AU21" s="994" t="str">
        <f t="shared" ref="AU21" si="14">INDEX($F$11:$F$16,MATCH(AU20,$B$11:$B$16,0))</f>
        <v>Electricity</v>
      </c>
      <c r="AV21" s="994" t="str">
        <f t="shared" si="13"/>
        <v>Hydrogen</v>
      </c>
      <c r="AW21" s="995" t="str">
        <f t="shared" ref="AW21" si="15">INDEX($F$11:$F$16,MATCH(AW20,$B$11:$B$16,0))</f>
        <v>Diesel</v>
      </c>
      <c r="AX21" s="993" t="str">
        <f>INDEX($F$11:$F$16,MATCH(AX20,$B$11:$B$16,0))</f>
        <v>Diesel</v>
      </c>
      <c r="AY21" s="994" t="str">
        <f t="shared" ref="AY21" si="16">INDEX($F$11:$F$16,MATCH(AY20,$B$11:$B$16,0))</f>
        <v>Diesel</v>
      </c>
      <c r="AZ21" s="994" t="str">
        <f t="shared" ref="AZ21" si="17">INDEX($F$11:$F$16,MATCH(AZ20,$B$11:$B$16,0))</f>
        <v>Electricity</v>
      </c>
      <c r="BA21" s="994" t="str">
        <f t="shared" ref="BA21" si="18">INDEX($F$11:$F$16,MATCH(BA20,$B$11:$B$16,0))</f>
        <v>Hydrogen</v>
      </c>
      <c r="BB21" s="995" t="str">
        <f t="shared" ref="BB21" si="19">INDEX($F$11:$F$16,MATCH(BB20,$B$11:$B$16,0))</f>
        <v>Diesel</v>
      </c>
      <c r="BC21" s="1026" t="str">
        <f>INDEX($F$11:$F$16,MATCH(BC20,$B$11:$B$16,0))</f>
        <v>Diesel</v>
      </c>
      <c r="BD21" s="994" t="str">
        <f>INDEX($F$11:$F$16,MATCH(BD20,$B$11:$B$16,0))</f>
        <v>Diesel</v>
      </c>
      <c r="BE21" s="994" t="str">
        <f t="shared" ref="BE21" si="20">INDEX($F$11:$F$16,MATCH(BE20,$B$11:$B$16,0))</f>
        <v>Diesel</v>
      </c>
      <c r="BF21" s="994" t="str">
        <f t="shared" ref="BF21" si="21">INDEX($F$11:$F$16,MATCH(BF20,$B$11:$B$16,0))</f>
        <v>Electricity</v>
      </c>
      <c r="BG21" s="994" t="str">
        <f t="shared" ref="BG21" si="22">INDEX($F$11:$F$16,MATCH(BG20,$B$11:$B$16,0))</f>
        <v>Hydrogen</v>
      </c>
      <c r="BH21" s="995" t="str">
        <f t="shared" ref="BH21" si="23">INDEX($F$11:$F$16,MATCH(BH20,$B$11:$B$16,0))</f>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INDEX($Q$11:$Q$16,MATCH(T20,$B$11:$B$16,0))</f>
        <v>0</v>
      </c>
      <c r="U22" s="1003">
        <f>INDEX($Q$11:$Q$16,MATCH(U20,$B$11:$B$16,0))</f>
        <v>0</v>
      </c>
      <c r="V22" s="1003">
        <f>INDEX($Q$11:$Q$16,MATCH(V20,$B$11:$B$16,0))</f>
        <v>0</v>
      </c>
      <c r="W22" s="1003">
        <f>INDEX($Q$11:$Q$16,MATCH(W20,$B$11:$B$16,0))</f>
        <v>0</v>
      </c>
      <c r="X22" s="1004">
        <f>INDEX($Q$11:$Q$16,MATCH(X20,$B$11:$B$16,0))</f>
        <v>0</v>
      </c>
      <c r="Y22" s="1010" t="b">
        <f>INDEX($H$11:$H$16,MATCH(Y20,$B$11:$B$16,0))</f>
        <v>0</v>
      </c>
      <c r="Z22" s="1011" t="b">
        <f t="shared" ref="Z22:AC22" si="24">INDEX($H$11:$H$16,MATCH(Z20,$B$11:$B$16,0))</f>
        <v>0</v>
      </c>
      <c r="AA22" s="1011" t="b">
        <f t="shared" si="24"/>
        <v>1</v>
      </c>
      <c r="AB22" s="1011" t="b">
        <f t="shared" si="24"/>
        <v>0</v>
      </c>
      <c r="AC22" s="1012" t="b">
        <f t="shared" si="24"/>
        <v>0</v>
      </c>
      <c r="AD22" s="993">
        <f>INDEX($M$11:$M$16,MATCH(AD20,$B$11:$B$16,0))</f>
        <v>5</v>
      </c>
      <c r="AE22" s="1019">
        <f>INDEX($M$11:$M$16,MATCH(AE20,$B$11:$B$16,0))</f>
        <v>5</v>
      </c>
      <c r="AF22" s="1019">
        <f>INDEX($M$11:$M$16,MATCH(AF20,$B$11:$B$16,0))</f>
        <v>5</v>
      </c>
      <c r="AG22" s="1019">
        <f>INDEX($M$11:$M$16,MATCH(AG20,$B$11:$B$16,0))</f>
        <v>5</v>
      </c>
      <c r="AH22" s="1020">
        <f>INDEX($M$11:$M$16,MATCH(AH20,$B$11:$B$16,0))</f>
        <v>5</v>
      </c>
      <c r="AI22" s="993">
        <f>INDEX($K$11:$K$16,MATCH(AI20,$B$11:$B$16,0))</f>
        <v>0.5</v>
      </c>
      <c r="AJ22" s="994">
        <f t="shared" ref="AJ22:AM22" si="25">INDEX($K$11:$K$16,MATCH(AJ20,$B$11:$B$16,0))</f>
        <v>0.5</v>
      </c>
      <c r="AK22" s="994">
        <f t="shared" si="25"/>
        <v>0.5</v>
      </c>
      <c r="AL22" s="994">
        <f t="shared" si="25"/>
        <v>0.5</v>
      </c>
      <c r="AM22" s="995">
        <f t="shared" si="25"/>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3.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13"/>
      <c r="Z23" s="1014"/>
      <c r="AA23" s="1014"/>
      <c r="AB23" s="1014"/>
      <c r="AC23" s="1015"/>
      <c r="AD23" s="1021"/>
      <c r="AE23" s="1022"/>
      <c r="AF23" s="1022"/>
      <c r="AG23" s="1022"/>
      <c r="AH23" s="1023"/>
      <c r="AI23" s="1021">
        <f>INDEX($I$11:$I$16,MATCH(AI20,$B$11:$B$16,0))</f>
        <v>2025</v>
      </c>
      <c r="AJ23" s="1024">
        <f>INDEX($I$11:$I$16,MATCH(AJ20,$B$11:$B$16,0))</f>
        <v>2025</v>
      </c>
      <c r="AK23" s="1024">
        <f>INDEX($I$11:$I$16,MATCH(AK20,$B$11:$B$16,0))</f>
        <v>2025</v>
      </c>
      <c r="AL23" s="1024">
        <f>INDEX($I$11:$I$16,MATCH(AL20,$B$11:$B$16,0))</f>
        <v>2025</v>
      </c>
      <c r="AM23" s="1025">
        <f>INDEX($I$11:$I$16,MATCH(AM20,$B$11:$B$16,0))</f>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3.5" thickTop="1" x14ac:dyDescent="0.2">
      <c r="A24" s="609">
        <v>2007</v>
      </c>
      <c r="B24" s="809">
        <f t="shared" ref="B24:G33" si="26">ROUND(INDEX(COST_Cls1,$A24-($A$24-1),MATCH(B$20,TECHOPTS_Cls1,0)),2)</f>
        <v>151412</v>
      </c>
      <c r="C24" s="809">
        <f t="shared" si="26"/>
        <v>1000000</v>
      </c>
      <c r="D24" s="809">
        <f t="shared" si="26"/>
        <v>1000000</v>
      </c>
      <c r="E24" s="809">
        <f t="shared" si="26"/>
        <v>1000000</v>
      </c>
      <c r="F24" s="809">
        <f t="shared" si="26"/>
        <v>1000000</v>
      </c>
      <c r="G24" s="810">
        <f t="shared" si="26"/>
        <v>1000000</v>
      </c>
      <c r="H24" s="781">
        <f t="shared" ref="H24:M33" si="27">IF(H$21="Single-fuel",1,1-MIN(INDEX(CDRANGE_CLS1,$A24-($A$24-1),MATCH(H$20,TECHOPTS_Cls1,0))*OPDAYS_Cls1/$D$6,1))</f>
        <v>1</v>
      </c>
      <c r="I24" s="782">
        <f t="shared" si="27"/>
        <v>1</v>
      </c>
      <c r="J24" s="782">
        <f t="shared" si="27"/>
        <v>1</v>
      </c>
      <c r="K24" s="782">
        <f t="shared" si="27"/>
        <v>1</v>
      </c>
      <c r="L24" s="782">
        <f t="shared" si="27"/>
        <v>1</v>
      </c>
      <c r="M24" s="783">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165753.08916885772</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231554.58773875586</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43685.866886693555</v>
      </c>
      <c r="T24" s="275">
        <f>$N24-O24+T$22</f>
        <v>-36316.299317944089</v>
      </c>
      <c r="U24" s="276">
        <f t="shared" ref="U24:X24" si="34">$N24-P24+U$22</f>
        <v>-36316.299317944089</v>
      </c>
      <c r="V24" s="276">
        <f t="shared" si="34"/>
        <v>-158383.52160010824</v>
      </c>
      <c r="W24" s="276">
        <f t="shared" si="34"/>
        <v>-224185.02017000638</v>
      </c>
      <c r="X24" s="278">
        <f t="shared" si="34"/>
        <v>-36316.299317944089</v>
      </c>
      <c r="Y24" s="279">
        <f ca="1">IF(AND(Y$22=TRUE,INDEX(CDRANGE_CLS1,MATCH($A24,$A$24:$A$67,0),MATCH(Y$20,$B$20:$G$20,0))&lt;$D$6/OPDAYS_Cls1),86,payback(C24,T24,disc_rate/12,85))</f>
        <v>86</v>
      </c>
      <c r="Z24" s="280">
        <f ca="1">IF(AND(Z$22=TRUE,INDEX(CDRANGE_CLS1,MATCH($A24,$A$24:$A$67,0),MATCH(Z$20,$B$20:$G$20,0))&lt;$D$6/OPDAYS_Cls1),86,payback(D24,U24,disc_rate/12,85))</f>
        <v>86</v>
      </c>
      <c r="AA24" s="280">
        <f>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IF(AND(C24&lt;=AD$21,ABS($N24-O24)&lt;=AD$22),AI24*VLOOKUP(C24/AD$21,FirstCostInd,2,TRUE)*VLOOKUP(($N24-O24)/AD$22,FuelCostInd,2,1),0)</f>
        <v>0</v>
      </c>
      <c r="AE24" s="283">
        <f t="shared" ref="AE24:AE67" si="36">IF(AND(D24&lt;=AE$21,ABS($N24-P24)&lt;=AE$22),AJ24*VLOOKUP(D24/AE$21,FirstCostInd,2,TRUE)*VLOOKUP(($N24-P24)/AE$22,FuelCostInd,2,1),0)</f>
        <v>0</v>
      </c>
      <c r="AF24" s="283">
        <f t="shared" ref="AF24:AF67" si="37">IF(AND(E24&lt;=AF$21,ABS($N24-Q24)&lt;=AF$22),AK24*VLOOKUP(E24/AF$21,FirstCostInd,2,TRUE)*VLOOKUP(($N24-Q24)/AF$22,FuelCostInd,2,1),0)</f>
        <v>0</v>
      </c>
      <c r="AG24" s="283">
        <f t="shared" ref="AG24:AG67" si="38">IF(AND(F24&lt;=AG$21,ABS($N24-R24)&lt;=AG$22),AL24*VLOOKUP(F24/AG$21,FirstCostInd,2,TRUE)*VLOOKUP(($N24-R24)/AG$22,FuelCostInd,2,1),0)</f>
        <v>0</v>
      </c>
      <c r="AH24" s="644">
        <f t="shared" ref="AH24:AH67" si="39">IF(AND(G24&lt;=AH$21,ABS($N24-S24)&lt;=AH$22),AM24*VLOOKUP(G24/AH$21,FirstCostInd,2,TRUE)*VLOOKUP(($N24-S24)/AH$22,FuelCostInd,2,1),0)</f>
        <v>0</v>
      </c>
      <c r="AI24" s="1140">
        <f t="shared" ref="AI24:AI67" si="40">IF($A24&lt;AI$23,0,AI$21+VLOOKUP($A24-AI$23,SCdata,2,1)*(AI$22-AI$21))*IF($D$5="Non-Central",INDEX(fuel_avail,$A24-$A$24+1,MATCH(O$21,Fuels,0)),1)</f>
        <v>0</v>
      </c>
      <c r="AJ24" s="1141">
        <f t="shared" ref="AJ24:AJ67" si="41">IF($A24&lt;AJ$23,0,AJ$21+VLOOKUP($A24-AJ$23,SCdata,2,1)*(AJ$22-AJ$21))*IF($D$5="Non-Central",INDEX(fuel_avail,$A24-$A$24+1,MATCH(P$21,Fuels,0)),1)</f>
        <v>0</v>
      </c>
      <c r="AK24" s="1141">
        <f t="shared" ref="AK24:AK67" si="42">IF($A24&lt;AK$23,0,AK$21+VLOOKUP($A24-AK$23,SCdata,2,1)*(AK$22-AK$21))*IF($D$5="Non-Central",INDEX(fuel_avail,$A24-$A$24+1,MATCH(Q$21,Fuels,0)),1)</f>
        <v>0</v>
      </c>
      <c r="AL24" s="1141">
        <f t="shared" ref="AL24:AL67" si="43">IF($A24&lt;AL$23,0,AL$21+VLOOKUP($A24-AL$23,SCdata,2,1)*(AL$22-AL$21))*IF($D$5="Non-Central",INDEX(fuel_avail,$A24-$A$24+1,MATCH(R$21,Fuels,0)),1)</f>
        <v>0</v>
      </c>
      <c r="AM24" s="1142">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IF(AD24&gt;0,AD24,MIN(1,IF(Y24&gt;85,0,(AI24/0.5)*VLOOKUP(Y24,AdoptDec,$AU$18,0))))</f>
        <v>0</v>
      </c>
      <c r="AT24" s="283">
        <f t="shared" ref="AT24:AT67" ca="1" si="47">IF(AE24&gt;0,AE24,MIN(1,IF(Z24&gt;85,0,(AJ24/0.5)*VLOOKUP(Z24,AdoptDec,$AU$18,0))))</f>
        <v>0</v>
      </c>
      <c r="AU24" s="806">
        <f t="shared" ref="AU24:AU67" si="48">IF(AF24&gt;0,AF24,MIN(1,IF(AA24&gt;85,0,(AK24/0.5)*VLOOKUP(AA24,AdoptDec,$AU$18,0))))</f>
        <v>0</v>
      </c>
      <c r="AV24" s="806">
        <f t="shared" ref="AV24:AV67" ca="1" si="49">IF(AG24&gt;0,AG24,MIN(1,IF(AB24&gt;85,0,(AL24/0.5)*VLOOKUP(AB24,AdoptDec,$AU$18,0))))</f>
        <v>0</v>
      </c>
      <c r="AW24" s="807">
        <f t="shared" ref="AW24:AW67" ca="1" si="50">IF(AH24&gt;0,AH24,MIN(1,IF(AC24&gt;85,0,(AM24/0.5)*VLOOKUP(AC24,AdoptDec,$AU$18,0))))</f>
        <v>0</v>
      </c>
      <c r="AX24" s="756">
        <f t="shared" ref="AX24:AX67" ca="1" si="51">MIN(AS24*AN24,1)</f>
        <v>0</v>
      </c>
      <c r="AY24" s="283">
        <f t="shared" ref="AY24:AY67" ca="1" si="52">MIN(AT24*AO24,1)</f>
        <v>0</v>
      </c>
      <c r="AZ24" s="283">
        <f t="shared" ref="AZ24:AZ67"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1">
        <f t="shared" si="26"/>
        <v>151412</v>
      </c>
      <c r="C25" s="812">
        <f t="shared" si="26"/>
        <v>1000000</v>
      </c>
      <c r="D25" s="812">
        <f t="shared" si="26"/>
        <v>1000000</v>
      </c>
      <c r="E25" s="812">
        <f t="shared" si="26"/>
        <v>1000000</v>
      </c>
      <c r="F25" s="812">
        <f t="shared" si="26"/>
        <v>1000000</v>
      </c>
      <c r="G25" s="813">
        <f t="shared" si="26"/>
        <v>1000000</v>
      </c>
      <c r="H25" s="781">
        <f t="shared" si="27"/>
        <v>1</v>
      </c>
      <c r="I25" s="782">
        <f t="shared" si="27"/>
        <v>1</v>
      </c>
      <c r="J25" s="782">
        <f t="shared" si="27"/>
        <v>1</v>
      </c>
      <c r="K25" s="782">
        <f t="shared" si="27"/>
        <v>1</v>
      </c>
      <c r="L25" s="782">
        <f t="shared" si="27"/>
        <v>1</v>
      </c>
      <c r="M25" s="783">
        <f t="shared" si="27"/>
        <v>1</v>
      </c>
      <c r="N25" s="275">
        <f t="shared" si="28"/>
        <v>10087.203638183901</v>
      </c>
      <c r="O25" s="276">
        <f t="shared" si="29"/>
        <v>59795.670680233598</v>
      </c>
      <c r="P25" s="276">
        <f t="shared" si="30"/>
        <v>59795.670680233598</v>
      </c>
      <c r="Q25" s="276">
        <f t="shared" si="31"/>
        <v>215280.1693898236</v>
      </c>
      <c r="R25" s="276">
        <f t="shared" si="32"/>
        <v>231554.58773875586</v>
      </c>
      <c r="S25" s="278">
        <f t="shared" si="33"/>
        <v>59795.670680233598</v>
      </c>
      <c r="T25" s="289">
        <f t="shared" ref="T25:T67" si="61">$N25-O25+T$22</f>
        <v>-49708.467042049699</v>
      </c>
      <c r="U25" s="290">
        <f t="shared" ref="U25:U67" si="62">$N25-P25+U$22</f>
        <v>-49708.467042049699</v>
      </c>
      <c r="V25" s="290">
        <f t="shared" ref="V25:V67" si="63">$N25-Q25+V$22</f>
        <v>-205192.96575163968</v>
      </c>
      <c r="W25" s="290">
        <f t="shared" ref="W25:W67" si="64">$N25-R25+W$22</f>
        <v>-221467.38410057194</v>
      </c>
      <c r="X25" s="292">
        <f t="shared" ref="X25:X67" si="65">$N25-S25+X$22</f>
        <v>-49708.467042049699</v>
      </c>
      <c r="Y25" s="293">
        <f ca="1">IF(AND(Y$22=TRUE,INDEX(CDRANGE_CLS1,MATCH($A25,$A$24:$A$67,0),MATCH(Y$20,$B$20:$G$20,0))&lt;$D$6/OPDAYS_Cls1),86,payback(C25,T25,disc_rate/12,85))</f>
        <v>86</v>
      </c>
      <c r="Z25" s="294">
        <f ca="1">IF(AND(Z$22=TRUE,INDEX(CDRANGE_CLS1,MATCH($A25,$A$24:$A$67,0),MATCH(Z$20,$B$20:$G$20,0))&lt;$D$6/OPDAYS_Cls1),86,payback(D25,U25,disc_rate/12,85))</f>
        <v>86</v>
      </c>
      <c r="AA25" s="294">
        <f>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3">
        <f t="shared" si="40"/>
        <v>0</v>
      </c>
      <c r="AJ25" s="1144">
        <f t="shared" si="41"/>
        <v>0</v>
      </c>
      <c r="AK25" s="1144">
        <f t="shared" si="42"/>
        <v>0</v>
      </c>
      <c r="AL25" s="1144">
        <f t="shared" si="43"/>
        <v>0</v>
      </c>
      <c r="AM25" s="1145">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si="48"/>
        <v>0</v>
      </c>
      <c r="AV25" s="297">
        <f t="shared" ca="1" si="49"/>
        <v>0</v>
      </c>
      <c r="AW25" s="298">
        <f t="shared" ca="1" si="50"/>
        <v>0</v>
      </c>
      <c r="AX25" s="757">
        <f t="shared" ca="1" si="51"/>
        <v>0</v>
      </c>
      <c r="AY25" s="297">
        <f t="shared" ca="1" si="52"/>
        <v>0</v>
      </c>
      <c r="AZ25" s="297">
        <f t="shared"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1">
        <f t="shared" si="26"/>
        <v>151412</v>
      </c>
      <c r="C26" s="812">
        <f t="shared" si="26"/>
        <v>1000000</v>
      </c>
      <c r="D26" s="812">
        <f t="shared" si="26"/>
        <v>1000000</v>
      </c>
      <c r="E26" s="812">
        <f t="shared" si="26"/>
        <v>1000000</v>
      </c>
      <c r="F26" s="812">
        <f t="shared" si="26"/>
        <v>1000000</v>
      </c>
      <c r="G26" s="813">
        <f t="shared" si="26"/>
        <v>1000000</v>
      </c>
      <c r="H26" s="781">
        <f t="shared" si="27"/>
        <v>1</v>
      </c>
      <c r="I26" s="782">
        <f t="shared" si="27"/>
        <v>1</v>
      </c>
      <c r="J26" s="782">
        <f t="shared" si="27"/>
        <v>1</v>
      </c>
      <c r="K26" s="782">
        <f t="shared" si="27"/>
        <v>1</v>
      </c>
      <c r="L26" s="782">
        <f t="shared" si="27"/>
        <v>1</v>
      </c>
      <c r="M26" s="783">
        <f t="shared" si="27"/>
        <v>1</v>
      </c>
      <c r="N26" s="275">
        <f t="shared" si="28"/>
        <v>6519.9682002425943</v>
      </c>
      <c r="O26" s="276">
        <f t="shared" si="29"/>
        <v>38649.549005981295</v>
      </c>
      <c r="P26" s="276">
        <f t="shared" si="30"/>
        <v>38649.549005981295</v>
      </c>
      <c r="Q26" s="276">
        <f t="shared" si="31"/>
        <v>322608.6014847412</v>
      </c>
      <c r="R26" s="276">
        <f t="shared" si="32"/>
        <v>231554.58773875586</v>
      </c>
      <c r="S26" s="278">
        <f t="shared" si="33"/>
        <v>38649.549005981295</v>
      </c>
      <c r="T26" s="289">
        <f t="shared" si="61"/>
        <v>-32129.5808057387</v>
      </c>
      <c r="U26" s="290">
        <f t="shared" si="62"/>
        <v>-32129.5808057387</v>
      </c>
      <c r="V26" s="290">
        <f t="shared" si="63"/>
        <v>-316088.63328449859</v>
      </c>
      <c r="W26" s="290">
        <f t="shared" si="64"/>
        <v>-225034.61953851327</v>
      </c>
      <c r="X26" s="292">
        <f t="shared" si="65"/>
        <v>-32129.5808057387</v>
      </c>
      <c r="Y26" s="293">
        <f ca="1">IF(AND(Y$22=TRUE,INDEX(CDRANGE_CLS1,MATCH($A26,$A$24:$A$67,0),MATCH(Y$20,$B$20:$G$20,0))&lt;$D$6/OPDAYS_Cls1),86,payback(C26,T26,disc_rate/12,85))</f>
        <v>86</v>
      </c>
      <c r="Z26" s="294">
        <f ca="1">IF(AND(Z$22=TRUE,INDEX(CDRANGE_CLS1,MATCH($A26,$A$24:$A$67,0),MATCH(Z$20,$B$20:$G$20,0))&lt;$D$6/OPDAYS_Cls1),86,payback(D26,U26,disc_rate/12,85))</f>
        <v>86</v>
      </c>
      <c r="AA26" s="294">
        <f>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3">
        <f t="shared" si="40"/>
        <v>0</v>
      </c>
      <c r="AJ26" s="1144">
        <f t="shared" si="41"/>
        <v>0</v>
      </c>
      <c r="AK26" s="1144">
        <f t="shared" si="42"/>
        <v>0</v>
      </c>
      <c r="AL26" s="1144">
        <f t="shared" si="43"/>
        <v>0</v>
      </c>
      <c r="AM26" s="1145">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si="48"/>
        <v>0</v>
      </c>
      <c r="AV26" s="297">
        <f t="shared" ca="1" si="49"/>
        <v>0</v>
      </c>
      <c r="AW26" s="298">
        <f t="shared" ca="1" si="50"/>
        <v>0</v>
      </c>
      <c r="AX26" s="757">
        <f t="shared" ca="1" si="51"/>
        <v>0</v>
      </c>
      <c r="AY26" s="297">
        <f t="shared" ca="1" si="52"/>
        <v>0</v>
      </c>
      <c r="AZ26" s="297">
        <f t="shared"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3.5" thickBot="1" x14ac:dyDescent="0.25">
      <c r="A27" s="618">
        <v>2010</v>
      </c>
      <c r="B27" s="814">
        <f t="shared" si="26"/>
        <v>151412</v>
      </c>
      <c r="C27" s="815">
        <f t="shared" si="26"/>
        <v>1000000</v>
      </c>
      <c r="D27" s="815">
        <f t="shared" si="26"/>
        <v>1000000</v>
      </c>
      <c r="E27" s="815">
        <f t="shared" si="26"/>
        <v>1000000</v>
      </c>
      <c r="F27" s="815">
        <f t="shared" si="26"/>
        <v>1000000</v>
      </c>
      <c r="G27" s="816">
        <f t="shared" si="26"/>
        <v>1000000</v>
      </c>
      <c r="H27" s="781">
        <f t="shared" si="27"/>
        <v>1</v>
      </c>
      <c r="I27" s="782">
        <f t="shared" si="27"/>
        <v>1</v>
      </c>
      <c r="J27" s="782">
        <f t="shared" si="27"/>
        <v>1</v>
      </c>
      <c r="K27" s="782">
        <f t="shared" si="27"/>
        <v>1</v>
      </c>
      <c r="L27" s="782">
        <f t="shared" si="27"/>
        <v>1</v>
      </c>
      <c r="M27" s="783">
        <f t="shared" si="27"/>
        <v>1</v>
      </c>
      <c r="N27" s="775">
        <f t="shared" si="28"/>
        <v>8428.4770999193952</v>
      </c>
      <c r="O27" s="776">
        <f t="shared" si="29"/>
        <v>47646.016403140064</v>
      </c>
      <c r="P27" s="776">
        <f t="shared" si="30"/>
        <v>47646.016403140064</v>
      </c>
      <c r="Q27" s="776">
        <f t="shared" si="31"/>
        <v>232008.73318143192</v>
      </c>
      <c r="R27" s="776">
        <f t="shared" si="32"/>
        <v>231554.58773875586</v>
      </c>
      <c r="S27" s="777">
        <f t="shared" si="33"/>
        <v>47646.016403140064</v>
      </c>
      <c r="T27" s="303">
        <f t="shared" si="61"/>
        <v>-39217.53930322067</v>
      </c>
      <c r="U27" s="304">
        <f t="shared" si="62"/>
        <v>-39217.53930322067</v>
      </c>
      <c r="V27" s="304">
        <f t="shared" si="63"/>
        <v>-223580.25608151252</v>
      </c>
      <c r="W27" s="304">
        <f t="shared" si="64"/>
        <v>-223126.11063883646</v>
      </c>
      <c r="X27" s="306">
        <f t="shared" si="65"/>
        <v>-39217.53930322067</v>
      </c>
      <c r="Y27" s="307">
        <f ca="1">IF(AND(Y$22=TRUE,INDEX(CDRANGE_CLS1,MATCH($A27,$A$24:$A$67,0),MATCH(Y$20,$B$20:$G$20,0))&lt;$D$6/OPDAYS_Cls1),86,payback(C27,T27,disc_rate/12,85))</f>
        <v>86</v>
      </c>
      <c r="Z27" s="308">
        <f ca="1">IF(AND(Z$22=TRUE,INDEX(CDRANGE_CLS1,MATCH($A27,$A$24:$A$67,0),MATCH(Z$20,$B$20:$G$20,0))&lt;$D$6/OPDAYS_Cls1),86,payback(D27,U27,disc_rate/12,85))</f>
        <v>86</v>
      </c>
      <c r="AA27" s="308">
        <f>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9">
        <f t="shared" si="39"/>
        <v>0</v>
      </c>
      <c r="AI27" s="1146">
        <f t="shared" si="40"/>
        <v>0</v>
      </c>
      <c r="AJ27" s="1147">
        <f t="shared" si="41"/>
        <v>0</v>
      </c>
      <c r="AK27" s="1147">
        <f t="shared" si="42"/>
        <v>0</v>
      </c>
      <c r="AL27" s="1147">
        <f t="shared" si="43"/>
        <v>0</v>
      </c>
      <c r="AM27" s="1148">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si="48"/>
        <v>0</v>
      </c>
      <c r="AV27" s="311">
        <f t="shared" ca="1" si="49"/>
        <v>0</v>
      </c>
      <c r="AW27" s="312">
        <f t="shared" ca="1" si="50"/>
        <v>0</v>
      </c>
      <c r="AX27" s="758">
        <f t="shared" ca="1" si="51"/>
        <v>0</v>
      </c>
      <c r="AY27" s="625">
        <f t="shared" ca="1" si="52"/>
        <v>0</v>
      </c>
      <c r="AZ27" s="625">
        <f t="shared"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7">
        <f t="shared" si="26"/>
        <v>151412</v>
      </c>
      <c r="C28" s="818">
        <f t="shared" si="26"/>
        <v>1000000</v>
      </c>
      <c r="D28" s="818">
        <f t="shared" si="26"/>
        <v>1000000</v>
      </c>
      <c r="E28" s="818">
        <f t="shared" si="26"/>
        <v>1000000</v>
      </c>
      <c r="F28" s="818">
        <f t="shared" si="26"/>
        <v>1000000</v>
      </c>
      <c r="G28" s="819">
        <f t="shared" si="26"/>
        <v>1000000</v>
      </c>
      <c r="H28" s="781">
        <f t="shared" si="27"/>
        <v>1</v>
      </c>
      <c r="I28" s="782">
        <f t="shared" si="27"/>
        <v>1</v>
      </c>
      <c r="J28" s="782">
        <f t="shared" si="27"/>
        <v>1</v>
      </c>
      <c r="K28" s="782">
        <f t="shared" si="27"/>
        <v>1</v>
      </c>
      <c r="L28" s="782">
        <f t="shared" si="27"/>
        <v>1</v>
      </c>
      <c r="M28" s="783">
        <f t="shared" si="27"/>
        <v>1</v>
      </c>
      <c r="N28" s="631">
        <f t="shared" si="28"/>
        <v>10932.093343098884</v>
      </c>
      <c r="O28" s="632">
        <f t="shared" si="29"/>
        <v>63075.865131559083</v>
      </c>
      <c r="P28" s="632">
        <f t="shared" si="30"/>
        <v>63075.865131559083</v>
      </c>
      <c r="Q28" s="632">
        <f t="shared" si="31"/>
        <v>183282.49267603748</v>
      </c>
      <c r="R28" s="632">
        <f t="shared" si="32"/>
        <v>231554.58773875586</v>
      </c>
      <c r="S28" s="745">
        <f t="shared" si="33"/>
        <v>63075.865131559083</v>
      </c>
      <c r="T28" s="736">
        <f t="shared" si="61"/>
        <v>-52143.771788460203</v>
      </c>
      <c r="U28" s="632">
        <f t="shared" si="62"/>
        <v>-52143.771788460203</v>
      </c>
      <c r="V28" s="632">
        <f t="shared" si="63"/>
        <v>-172350.3993329386</v>
      </c>
      <c r="W28" s="632">
        <f t="shared" si="64"/>
        <v>-220622.49439565698</v>
      </c>
      <c r="X28" s="633">
        <f t="shared" si="65"/>
        <v>-52143.771788460203</v>
      </c>
      <c r="Y28" s="634">
        <f ca="1">IF(AND(Y$22=TRUE,INDEX(CDRANGE_CLS1,MATCH($A28,$A$24:$A$67,0),MATCH(Y$20,$B$20:$G$20,0))&lt;$D$6/OPDAYS_Cls1),86,payback(C28,T28,disc_rate/12,85))</f>
        <v>86</v>
      </c>
      <c r="Z28" s="635">
        <f ca="1">IF(AND(Z$22=TRUE,INDEX(CDRANGE_CLS1,MATCH($A28,$A$24:$A$67,0),MATCH(Z$20,$B$20:$G$20,0))&lt;$D$6/OPDAYS_Cls1),86,payback(D28,U28,disc_rate/12,85))</f>
        <v>86</v>
      </c>
      <c r="AA28" s="635">
        <f>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49">
        <f t="shared" si="40"/>
        <v>0</v>
      </c>
      <c r="AJ28" s="1150">
        <f t="shared" si="41"/>
        <v>0</v>
      </c>
      <c r="AK28" s="1150">
        <f t="shared" si="42"/>
        <v>0</v>
      </c>
      <c r="AL28" s="1150">
        <f t="shared" si="43"/>
        <v>0</v>
      </c>
      <c r="AM28" s="1151">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si="48"/>
        <v>0</v>
      </c>
      <c r="AV28" s="638">
        <f t="shared" ca="1" si="49"/>
        <v>0</v>
      </c>
      <c r="AW28" s="639">
        <f t="shared" ca="1" si="50"/>
        <v>0</v>
      </c>
      <c r="AX28" s="637">
        <f t="shared" ca="1" si="51"/>
        <v>0</v>
      </c>
      <c r="AY28" s="638">
        <f t="shared" ca="1" si="52"/>
        <v>0</v>
      </c>
      <c r="AZ28" s="638">
        <f t="shared"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20">
        <f t="shared" si="26"/>
        <v>151412</v>
      </c>
      <c r="C29" s="821">
        <f t="shared" si="26"/>
        <v>1000000</v>
      </c>
      <c r="D29" s="821">
        <f t="shared" si="26"/>
        <v>1000000</v>
      </c>
      <c r="E29" s="821">
        <f t="shared" si="26"/>
        <v>1000000</v>
      </c>
      <c r="F29" s="821">
        <f t="shared" si="26"/>
        <v>1000000</v>
      </c>
      <c r="G29" s="822">
        <f t="shared" si="26"/>
        <v>1000000</v>
      </c>
      <c r="H29" s="781">
        <f t="shared" si="27"/>
        <v>1</v>
      </c>
      <c r="I29" s="782">
        <f t="shared" si="27"/>
        <v>1</v>
      </c>
      <c r="J29" s="782">
        <f t="shared" si="27"/>
        <v>1</v>
      </c>
      <c r="K29" s="782">
        <f t="shared" si="27"/>
        <v>1</v>
      </c>
      <c r="L29" s="782">
        <f t="shared" si="27"/>
        <v>1</v>
      </c>
      <c r="M29" s="783">
        <f t="shared" si="27"/>
        <v>1</v>
      </c>
      <c r="N29" s="275">
        <f t="shared" si="28"/>
        <v>11439.442673908667</v>
      </c>
      <c r="O29" s="276">
        <f t="shared" si="29"/>
        <v>66527.610335728168</v>
      </c>
      <c r="P29" s="276">
        <f t="shared" si="30"/>
        <v>66527.610335728168</v>
      </c>
      <c r="Q29" s="276">
        <f t="shared" si="31"/>
        <v>156662.1556367279</v>
      </c>
      <c r="R29" s="276">
        <f t="shared" si="32"/>
        <v>231554.58773875586</v>
      </c>
      <c r="S29" s="278">
        <f t="shared" si="33"/>
        <v>66527.610335728168</v>
      </c>
      <c r="T29" s="734">
        <f t="shared" si="61"/>
        <v>-55088.167661819505</v>
      </c>
      <c r="U29" s="290">
        <f t="shared" si="62"/>
        <v>-55088.167661819505</v>
      </c>
      <c r="V29" s="290">
        <f t="shared" si="63"/>
        <v>-145222.71296281923</v>
      </c>
      <c r="W29" s="290">
        <f t="shared" si="64"/>
        <v>-220115.14506484719</v>
      </c>
      <c r="X29" s="291">
        <f t="shared" si="65"/>
        <v>-55088.167661819505</v>
      </c>
      <c r="Y29" s="293">
        <f ca="1">IF(AND(Y$22=TRUE,INDEX(CDRANGE_CLS1,MATCH($A29,$A$24:$A$67,0),MATCH(Y$20,$B$20:$G$20,0))&lt;$D$6/OPDAYS_Cls1),86,payback(C29,T29,disc_rate/12,85))</f>
        <v>86</v>
      </c>
      <c r="Z29" s="294">
        <f ca="1">IF(AND(Z$22=TRUE,INDEX(CDRANGE_CLS1,MATCH($A29,$A$24:$A$67,0),MATCH(Z$20,$B$20:$G$20,0))&lt;$D$6/OPDAYS_Cls1),86,payback(D29,U29,disc_rate/12,85))</f>
        <v>86</v>
      </c>
      <c r="AA29" s="294">
        <f>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3">
        <f t="shared" si="40"/>
        <v>0</v>
      </c>
      <c r="AJ29" s="1144">
        <f t="shared" si="41"/>
        <v>0</v>
      </c>
      <c r="AK29" s="1144">
        <f t="shared" si="42"/>
        <v>0</v>
      </c>
      <c r="AL29" s="1144">
        <f t="shared" si="43"/>
        <v>0</v>
      </c>
      <c r="AM29" s="1152">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si="48"/>
        <v>0</v>
      </c>
      <c r="AV29" s="297">
        <f t="shared" ca="1" si="49"/>
        <v>0</v>
      </c>
      <c r="AW29" s="298">
        <f t="shared" ca="1" si="50"/>
        <v>0</v>
      </c>
      <c r="AX29" s="296">
        <f t="shared" ca="1" si="51"/>
        <v>0</v>
      </c>
      <c r="AY29" s="297">
        <f t="shared" ca="1" si="52"/>
        <v>0</v>
      </c>
      <c r="AZ29" s="297">
        <f t="shared"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20">
        <f t="shared" si="26"/>
        <v>151412</v>
      </c>
      <c r="C30" s="821">
        <f t="shared" si="26"/>
        <v>1000000</v>
      </c>
      <c r="D30" s="821">
        <f t="shared" si="26"/>
        <v>1000000</v>
      </c>
      <c r="E30" s="821">
        <f t="shared" si="26"/>
        <v>1000000</v>
      </c>
      <c r="F30" s="821">
        <f t="shared" si="26"/>
        <v>1000000</v>
      </c>
      <c r="G30" s="822">
        <f t="shared" si="26"/>
        <v>1000000</v>
      </c>
      <c r="H30" s="781">
        <f t="shared" si="27"/>
        <v>1</v>
      </c>
      <c r="I30" s="782">
        <f t="shared" si="27"/>
        <v>1</v>
      </c>
      <c r="J30" s="782">
        <f t="shared" si="27"/>
        <v>1</v>
      </c>
      <c r="K30" s="782">
        <f t="shared" si="27"/>
        <v>1</v>
      </c>
      <c r="L30" s="782">
        <f t="shared" si="27"/>
        <v>1</v>
      </c>
      <c r="M30" s="783">
        <f t="shared" si="27"/>
        <v>1</v>
      </c>
      <c r="N30" s="275">
        <f t="shared" si="28"/>
        <v>11262.323737910812</v>
      </c>
      <c r="O30" s="276">
        <f t="shared" si="29"/>
        <v>66723.214973263486</v>
      </c>
      <c r="P30" s="276">
        <f t="shared" si="30"/>
        <v>66723.214973263486</v>
      </c>
      <c r="Q30" s="276">
        <f t="shared" si="31"/>
        <v>160583.97020281761</v>
      </c>
      <c r="R30" s="276">
        <f t="shared" si="32"/>
        <v>231554.58773875586</v>
      </c>
      <c r="S30" s="278">
        <f t="shared" si="33"/>
        <v>66723.214973263486</v>
      </c>
      <c r="T30" s="734">
        <f t="shared" si="61"/>
        <v>-55460.891235352676</v>
      </c>
      <c r="U30" s="290">
        <f t="shared" si="62"/>
        <v>-55460.891235352676</v>
      </c>
      <c r="V30" s="290">
        <f t="shared" si="63"/>
        <v>-149321.64646490681</v>
      </c>
      <c r="W30" s="290">
        <f t="shared" si="64"/>
        <v>-220292.26400084505</v>
      </c>
      <c r="X30" s="291">
        <f t="shared" si="65"/>
        <v>-55460.891235352676</v>
      </c>
      <c r="Y30" s="293">
        <f ca="1">IF(AND(Y$22=TRUE,INDEX(CDRANGE_CLS1,MATCH($A30,$A$24:$A$67,0),MATCH(Y$20,$B$20:$G$20,0))&lt;$D$6/OPDAYS_Cls1),86,payback(C30,T30,disc_rate/12,85))</f>
        <v>86</v>
      </c>
      <c r="Z30" s="294">
        <f ca="1">IF(AND(Z$22=TRUE,INDEX(CDRANGE_CLS1,MATCH($A30,$A$24:$A$67,0),MATCH(Z$20,$B$20:$G$20,0))&lt;$D$6/OPDAYS_Cls1),86,payback(D30,U30,disc_rate/12,85))</f>
        <v>86</v>
      </c>
      <c r="AA30" s="294">
        <f>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3">
        <f t="shared" si="40"/>
        <v>0</v>
      </c>
      <c r="AJ30" s="1144">
        <f t="shared" si="41"/>
        <v>0</v>
      </c>
      <c r="AK30" s="1144">
        <f t="shared" si="42"/>
        <v>0</v>
      </c>
      <c r="AL30" s="1144">
        <f t="shared" si="43"/>
        <v>0</v>
      </c>
      <c r="AM30" s="1152">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si="48"/>
        <v>0</v>
      </c>
      <c r="AV30" s="297">
        <f t="shared" ca="1" si="49"/>
        <v>0</v>
      </c>
      <c r="AW30" s="298">
        <f t="shared" ca="1" si="50"/>
        <v>0</v>
      </c>
      <c r="AX30" s="296">
        <f t="shared" ca="1" si="51"/>
        <v>0</v>
      </c>
      <c r="AY30" s="297">
        <f t="shared" ca="1" si="52"/>
        <v>0</v>
      </c>
      <c r="AZ30" s="297">
        <f t="shared"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20">
        <f t="shared" si="26"/>
        <v>151412</v>
      </c>
      <c r="C31" s="821">
        <f t="shared" si="26"/>
        <v>1000000</v>
      </c>
      <c r="D31" s="821">
        <f t="shared" si="26"/>
        <v>1000000</v>
      </c>
      <c r="E31" s="821">
        <f t="shared" si="26"/>
        <v>1000000</v>
      </c>
      <c r="F31" s="821">
        <f t="shared" si="26"/>
        <v>1000000</v>
      </c>
      <c r="G31" s="822">
        <f t="shared" si="26"/>
        <v>1000000</v>
      </c>
      <c r="H31" s="781">
        <f t="shared" si="27"/>
        <v>1</v>
      </c>
      <c r="I31" s="782">
        <f t="shared" si="27"/>
        <v>1</v>
      </c>
      <c r="J31" s="782">
        <f t="shared" si="27"/>
        <v>1</v>
      </c>
      <c r="K31" s="782">
        <f t="shared" si="27"/>
        <v>1</v>
      </c>
      <c r="L31" s="782">
        <f t="shared" si="27"/>
        <v>1</v>
      </c>
      <c r="M31" s="783">
        <f t="shared" si="27"/>
        <v>1</v>
      </c>
      <c r="N31" s="275">
        <f t="shared" si="28"/>
        <v>10914.556994563642</v>
      </c>
      <c r="O31" s="276">
        <f t="shared" si="29"/>
        <v>66124.310363758137</v>
      </c>
      <c r="P31" s="276">
        <f t="shared" si="30"/>
        <v>66124.310363758137</v>
      </c>
      <c r="Q31" s="276">
        <f t="shared" si="31"/>
        <v>166669.44362627002</v>
      </c>
      <c r="R31" s="276">
        <f t="shared" si="32"/>
        <v>231554.58773875586</v>
      </c>
      <c r="S31" s="278">
        <f t="shared" si="33"/>
        <v>66124.310363758137</v>
      </c>
      <c r="T31" s="734">
        <f t="shared" si="61"/>
        <v>-55209.753369194499</v>
      </c>
      <c r="U31" s="290">
        <f t="shared" si="62"/>
        <v>-55209.753369194499</v>
      </c>
      <c r="V31" s="290">
        <f t="shared" si="63"/>
        <v>-155754.88663170638</v>
      </c>
      <c r="W31" s="290">
        <f t="shared" si="64"/>
        <v>-220640.03074419222</v>
      </c>
      <c r="X31" s="291">
        <f t="shared" si="65"/>
        <v>-55209.753369194499</v>
      </c>
      <c r="Y31" s="293">
        <f ca="1">IF(AND(Y$22=TRUE,INDEX(CDRANGE_CLS1,MATCH($A31,$A$24:$A$67,0),MATCH(Y$20,$B$20:$G$20,0))&lt;$D$6/OPDAYS_Cls1),86,payback(C31,T31,disc_rate/12,85))</f>
        <v>86</v>
      </c>
      <c r="Z31" s="294">
        <f ca="1">IF(AND(Z$22=TRUE,INDEX(CDRANGE_CLS1,MATCH($A31,$A$24:$A$67,0),MATCH(Z$20,$B$20:$G$20,0))&lt;$D$6/OPDAYS_Cls1),86,payback(D31,U31,disc_rate/12,85))</f>
        <v>86</v>
      </c>
      <c r="AA31" s="294">
        <f>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3">
        <f t="shared" si="40"/>
        <v>0</v>
      </c>
      <c r="AJ31" s="1144">
        <f t="shared" si="41"/>
        <v>0</v>
      </c>
      <c r="AK31" s="1144">
        <f t="shared" si="42"/>
        <v>0</v>
      </c>
      <c r="AL31" s="1144">
        <f t="shared" si="43"/>
        <v>0</v>
      </c>
      <c r="AM31" s="1152">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si="48"/>
        <v>0</v>
      </c>
      <c r="AV31" s="297">
        <f t="shared" ca="1" si="49"/>
        <v>0</v>
      </c>
      <c r="AW31" s="298">
        <f t="shared" ca="1" si="50"/>
        <v>0</v>
      </c>
      <c r="AX31" s="296">
        <f t="shared" ca="1" si="51"/>
        <v>0</v>
      </c>
      <c r="AY31" s="297">
        <f t="shared" ca="1" si="52"/>
        <v>0</v>
      </c>
      <c r="AZ31" s="297">
        <f t="shared"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3.5" thickBot="1" x14ac:dyDescent="0.25">
      <c r="A32" s="302">
        <v>2015</v>
      </c>
      <c r="B32" s="823">
        <f t="shared" si="26"/>
        <v>151412</v>
      </c>
      <c r="C32" s="824">
        <f t="shared" si="26"/>
        <v>1000000</v>
      </c>
      <c r="D32" s="824">
        <f t="shared" si="26"/>
        <v>1000000</v>
      </c>
      <c r="E32" s="824">
        <f t="shared" si="26"/>
        <v>1000000</v>
      </c>
      <c r="F32" s="824">
        <f t="shared" si="26"/>
        <v>1000000</v>
      </c>
      <c r="G32" s="825">
        <f t="shared" si="26"/>
        <v>1000000</v>
      </c>
      <c r="H32" s="781">
        <f t="shared" si="27"/>
        <v>1</v>
      </c>
      <c r="I32" s="782">
        <f t="shared" si="27"/>
        <v>1</v>
      </c>
      <c r="J32" s="782">
        <f t="shared" si="27"/>
        <v>1</v>
      </c>
      <c r="K32" s="782">
        <f t="shared" si="27"/>
        <v>1</v>
      </c>
      <c r="L32" s="782">
        <f t="shared" si="27"/>
        <v>1</v>
      </c>
      <c r="M32" s="783">
        <f t="shared" si="27"/>
        <v>1</v>
      </c>
      <c r="N32" s="778">
        <f t="shared" si="28"/>
        <v>7594.0852006445393</v>
      </c>
      <c r="O32" s="779">
        <f t="shared" si="29"/>
        <v>46858.358645460277</v>
      </c>
      <c r="P32" s="779">
        <f t="shared" si="30"/>
        <v>46858.358645460277</v>
      </c>
      <c r="Q32" s="779">
        <f t="shared" si="31"/>
        <v>152708.41189275766</v>
      </c>
      <c r="R32" s="779">
        <f t="shared" si="32"/>
        <v>231554.58773875586</v>
      </c>
      <c r="S32" s="780">
        <f t="shared" si="33"/>
        <v>46858.358645460277</v>
      </c>
      <c r="T32" s="737">
        <f t="shared" si="61"/>
        <v>-39264.273444815735</v>
      </c>
      <c r="U32" s="304">
        <f t="shared" si="62"/>
        <v>-39264.273444815735</v>
      </c>
      <c r="V32" s="304">
        <f t="shared" si="63"/>
        <v>-145114.32669211313</v>
      </c>
      <c r="W32" s="304">
        <f t="shared" si="64"/>
        <v>-223960.50253811132</v>
      </c>
      <c r="X32" s="305">
        <f t="shared" si="65"/>
        <v>-39264.273444815735</v>
      </c>
      <c r="Y32" s="307">
        <f ca="1">IF(AND(Y$22=TRUE,INDEX(CDRANGE_CLS1,MATCH($A32,$A$24:$A$67,0),MATCH(Y$20,$B$20:$G$20,0))&lt;$D$6/OPDAYS_Cls1),86,payback(C32,T32,disc_rate/12,85))</f>
        <v>86</v>
      </c>
      <c r="Z32" s="308">
        <f ca="1">IF(AND(Z$22=TRUE,INDEX(CDRANGE_CLS1,MATCH($A32,$A$24:$A$67,0),MATCH(Z$20,$B$20:$G$20,0))&lt;$D$6/OPDAYS_Cls1),86,payback(D32,U32,disc_rate/12,85))</f>
        <v>86</v>
      </c>
      <c r="AA32" s="308">
        <f>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6">
        <f t="shared" si="40"/>
        <v>0</v>
      </c>
      <c r="AJ32" s="1147">
        <f t="shared" si="41"/>
        <v>0</v>
      </c>
      <c r="AK32" s="1147">
        <f t="shared" si="42"/>
        <v>0</v>
      </c>
      <c r="AL32" s="1147">
        <f t="shared" si="43"/>
        <v>0</v>
      </c>
      <c r="AM32" s="1153">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si="48"/>
        <v>0</v>
      </c>
      <c r="AV32" s="311">
        <f t="shared" ca="1" si="49"/>
        <v>0</v>
      </c>
      <c r="AW32" s="312">
        <f t="shared" ca="1" si="50"/>
        <v>0</v>
      </c>
      <c r="AX32" s="310">
        <f t="shared" ca="1" si="51"/>
        <v>0</v>
      </c>
      <c r="AY32" s="311">
        <f t="shared" ca="1" si="52"/>
        <v>0</v>
      </c>
      <c r="AZ32" s="311">
        <f t="shared"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6">
        <f t="shared" si="26"/>
        <v>151412</v>
      </c>
      <c r="C33" s="827">
        <f t="shared" si="26"/>
        <v>1000000</v>
      </c>
      <c r="D33" s="827">
        <f t="shared" si="26"/>
        <v>1000000</v>
      </c>
      <c r="E33" s="827">
        <f t="shared" si="26"/>
        <v>1000000</v>
      </c>
      <c r="F33" s="827">
        <f t="shared" si="26"/>
        <v>1000000</v>
      </c>
      <c r="G33" s="828">
        <f t="shared" si="26"/>
        <v>1000000</v>
      </c>
      <c r="H33" s="781">
        <f t="shared" si="27"/>
        <v>1</v>
      </c>
      <c r="I33" s="782">
        <f t="shared" si="27"/>
        <v>1</v>
      </c>
      <c r="J33" s="782">
        <f t="shared" si="27"/>
        <v>1</v>
      </c>
      <c r="K33" s="782">
        <f t="shared" si="27"/>
        <v>1</v>
      </c>
      <c r="L33" s="782">
        <f t="shared" si="27"/>
        <v>1</v>
      </c>
      <c r="M33" s="783">
        <f t="shared" si="27"/>
        <v>1</v>
      </c>
      <c r="N33" s="275">
        <f t="shared" si="28"/>
        <v>6411.1423877861926</v>
      </c>
      <c r="O33" s="276">
        <f t="shared" si="29"/>
        <v>40385.092465463989</v>
      </c>
      <c r="P33" s="276">
        <f t="shared" si="30"/>
        <v>40385.092465463989</v>
      </c>
      <c r="Q33" s="276">
        <f t="shared" si="31"/>
        <v>149600.56089248261</v>
      </c>
      <c r="R33" s="276">
        <f t="shared" si="32"/>
        <v>221906.47991630773</v>
      </c>
      <c r="S33" s="278">
        <f t="shared" si="33"/>
        <v>40385.092465463989</v>
      </c>
      <c r="T33" s="733">
        <f t="shared" si="61"/>
        <v>-33973.9500776778</v>
      </c>
      <c r="U33" s="276">
        <f t="shared" si="62"/>
        <v>-33973.9500776778</v>
      </c>
      <c r="V33" s="276">
        <f t="shared" si="63"/>
        <v>-143189.41850469643</v>
      </c>
      <c r="W33" s="276">
        <f t="shared" si="64"/>
        <v>-215495.33752852154</v>
      </c>
      <c r="X33" s="277">
        <f t="shared" si="65"/>
        <v>-33973.9500776778</v>
      </c>
      <c r="Y33" s="279">
        <f ca="1">IF(AND(Y$22=TRUE,INDEX(CDRANGE_CLS1,MATCH($A33,$A$24:$A$67,0),MATCH(Y$20,$B$20:$G$20,0))&lt;$D$6/OPDAYS_Cls1),86,payback(C33,T33,disc_rate/12,85))</f>
        <v>86</v>
      </c>
      <c r="Z33" s="280">
        <f ca="1">IF(AND(Z$22=TRUE,INDEX(CDRANGE_CLS1,MATCH($A33,$A$24:$A$67,0),MATCH(Z$20,$B$20:$G$20,0))&lt;$D$6/OPDAYS_Cls1),86,payback(D33,U33,disc_rate/12,85))</f>
        <v>86</v>
      </c>
      <c r="AA33" s="280">
        <f>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0">
        <f t="shared" si="40"/>
        <v>0</v>
      </c>
      <c r="AJ33" s="1141">
        <f t="shared" si="41"/>
        <v>0</v>
      </c>
      <c r="AK33" s="1141">
        <f t="shared" si="42"/>
        <v>0</v>
      </c>
      <c r="AL33" s="1141">
        <f t="shared" si="43"/>
        <v>0</v>
      </c>
      <c r="AM33" s="1154">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si="48"/>
        <v>0</v>
      </c>
      <c r="AV33" s="283">
        <f t="shared" ca="1" si="49"/>
        <v>0</v>
      </c>
      <c r="AW33" s="284">
        <f t="shared" ca="1" si="50"/>
        <v>0</v>
      </c>
      <c r="AX33" s="282">
        <f t="shared" ca="1" si="51"/>
        <v>0</v>
      </c>
      <c r="AY33" s="283">
        <f t="shared" ca="1" si="52"/>
        <v>0</v>
      </c>
      <c r="AZ33" s="283">
        <f t="shared"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20">
        <f t="shared" ref="B34:G43" si="74">ROUND(INDEX(COST_Cls1,$A34-($A$24-1),MATCH(B$20,TECHOPTS_Cls1,0)),2)</f>
        <v>151412</v>
      </c>
      <c r="C34" s="821">
        <f t="shared" si="74"/>
        <v>1000000</v>
      </c>
      <c r="D34" s="821">
        <f t="shared" si="74"/>
        <v>1000000</v>
      </c>
      <c r="E34" s="821">
        <f t="shared" si="74"/>
        <v>1000000</v>
      </c>
      <c r="F34" s="821">
        <f t="shared" si="74"/>
        <v>1000000</v>
      </c>
      <c r="G34" s="822">
        <f t="shared" si="74"/>
        <v>1000000</v>
      </c>
      <c r="H34" s="781">
        <f t="shared" ref="H34:M43" si="75">IF(H$21="Single-fuel",1,1-MIN(INDEX(CDRANGE_CLS1,$A34-($A$24-1),MATCH(H$20,TECHOPTS_Cls1,0))*OPDAYS_Cls1/$D$6,1))</f>
        <v>1</v>
      </c>
      <c r="I34" s="782">
        <f t="shared" si="75"/>
        <v>1</v>
      </c>
      <c r="J34" s="782">
        <f t="shared" si="75"/>
        <v>1</v>
      </c>
      <c r="K34" s="782">
        <f t="shared" si="75"/>
        <v>1</v>
      </c>
      <c r="L34" s="782">
        <f t="shared" si="75"/>
        <v>1</v>
      </c>
      <c r="M34" s="783">
        <f t="shared" si="75"/>
        <v>1</v>
      </c>
      <c r="N34" s="275">
        <f t="shared" si="28"/>
        <v>7378.2150170951218</v>
      </c>
      <c r="O34" s="276">
        <f t="shared" si="29"/>
        <v>47441.038429456799</v>
      </c>
      <c r="P34" s="276">
        <f t="shared" si="30"/>
        <v>47441.038429456799</v>
      </c>
      <c r="Q34" s="276">
        <f t="shared" si="31"/>
        <v>150719.45458093725</v>
      </c>
      <c r="R34" s="276">
        <f t="shared" si="32"/>
        <v>212258.37209385951</v>
      </c>
      <c r="S34" s="278">
        <f t="shared" si="33"/>
        <v>47441.038429456799</v>
      </c>
      <c r="T34" s="734">
        <f t="shared" si="61"/>
        <v>-40062.823412361678</v>
      </c>
      <c r="U34" s="290">
        <f t="shared" si="62"/>
        <v>-40062.823412361678</v>
      </c>
      <c r="V34" s="290">
        <f t="shared" si="63"/>
        <v>-143341.23956384213</v>
      </c>
      <c r="W34" s="290">
        <f t="shared" si="64"/>
        <v>-204880.15707676439</v>
      </c>
      <c r="X34" s="291">
        <f t="shared" si="65"/>
        <v>-40062.823412361678</v>
      </c>
      <c r="Y34" s="293">
        <f ca="1">IF(AND(Y$22=TRUE,INDEX(CDRANGE_CLS1,MATCH($A34,$A$24:$A$67,0),MATCH(Y$20,$B$20:$G$20,0))&lt;$D$6/OPDAYS_Cls1),86,payback(C34,T34,disc_rate/12,85))</f>
        <v>86</v>
      </c>
      <c r="Z34" s="294">
        <f ca="1">IF(AND(Z$22=TRUE,INDEX(CDRANGE_CLS1,MATCH($A34,$A$24:$A$67,0),MATCH(Z$20,$B$20:$G$20,0))&lt;$D$6/OPDAYS_Cls1),86,payback(D34,U34,disc_rate/12,85))</f>
        <v>86</v>
      </c>
      <c r="AA34" s="294">
        <f>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3">
        <f t="shared" si="40"/>
        <v>0</v>
      </c>
      <c r="AJ34" s="1144">
        <f t="shared" si="41"/>
        <v>0</v>
      </c>
      <c r="AK34" s="1144">
        <f t="shared" si="42"/>
        <v>0</v>
      </c>
      <c r="AL34" s="1144">
        <f t="shared" si="43"/>
        <v>0</v>
      </c>
      <c r="AM34" s="1152">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si="48"/>
        <v>0</v>
      </c>
      <c r="AV34" s="297">
        <f t="shared" ca="1" si="49"/>
        <v>0</v>
      </c>
      <c r="AW34" s="298">
        <f t="shared" ca="1" si="50"/>
        <v>0</v>
      </c>
      <c r="AX34" s="296">
        <f t="shared" ca="1" si="51"/>
        <v>0</v>
      </c>
      <c r="AY34" s="297">
        <f t="shared" ca="1" si="52"/>
        <v>0</v>
      </c>
      <c r="AZ34" s="297">
        <f t="shared"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20">
        <f t="shared" si="74"/>
        <v>151412</v>
      </c>
      <c r="C35" s="821">
        <f t="shared" si="74"/>
        <v>1000000</v>
      </c>
      <c r="D35" s="821">
        <f t="shared" si="74"/>
        <v>1000000</v>
      </c>
      <c r="E35" s="821">
        <f t="shared" si="74"/>
        <v>1000000</v>
      </c>
      <c r="F35" s="821">
        <f t="shared" si="74"/>
        <v>1000000</v>
      </c>
      <c r="G35" s="822">
        <f t="shared" si="74"/>
        <v>1000000</v>
      </c>
      <c r="H35" s="781">
        <f t="shared" si="75"/>
        <v>1</v>
      </c>
      <c r="I35" s="782">
        <f t="shared" si="75"/>
        <v>1</v>
      </c>
      <c r="J35" s="782">
        <f t="shared" si="75"/>
        <v>1</v>
      </c>
      <c r="K35" s="782">
        <f t="shared" si="75"/>
        <v>1</v>
      </c>
      <c r="L35" s="782">
        <f t="shared" si="75"/>
        <v>1</v>
      </c>
      <c r="M35" s="783">
        <f t="shared" si="75"/>
        <v>1</v>
      </c>
      <c r="N35" s="275">
        <f t="shared" si="28"/>
        <v>9116.5703144910931</v>
      </c>
      <c r="O35" s="276">
        <f t="shared" si="29"/>
        <v>58280.207939799562</v>
      </c>
      <c r="P35" s="276">
        <f t="shared" si="30"/>
        <v>58280.207939799562</v>
      </c>
      <c r="Q35" s="276">
        <f t="shared" si="31"/>
        <v>172399.28867529429</v>
      </c>
      <c r="R35" s="276">
        <f t="shared" si="32"/>
        <v>202610.26427141138</v>
      </c>
      <c r="S35" s="278">
        <f t="shared" si="33"/>
        <v>58280.207939799562</v>
      </c>
      <c r="T35" s="734">
        <f t="shared" si="61"/>
        <v>-49163.637625308467</v>
      </c>
      <c r="U35" s="290">
        <f t="shared" si="62"/>
        <v>-49163.637625308467</v>
      </c>
      <c r="V35" s="290">
        <f t="shared" si="63"/>
        <v>-163282.71836080321</v>
      </c>
      <c r="W35" s="290">
        <f t="shared" si="64"/>
        <v>-193493.6939569203</v>
      </c>
      <c r="X35" s="291">
        <f t="shared" si="65"/>
        <v>-49163.637625308467</v>
      </c>
      <c r="Y35" s="293">
        <f ca="1">IF(AND(Y$22=TRUE,INDEX(CDRANGE_CLS1,MATCH($A35,$A$24:$A$67,0),MATCH(Y$20,$B$20:$G$20,0))&lt;$D$6/OPDAYS_Cls1),86,payback(C35,T35,disc_rate/12,85))</f>
        <v>86</v>
      </c>
      <c r="Z35" s="294">
        <f ca="1">IF(AND(Z$22=TRUE,INDEX(CDRANGE_CLS1,MATCH($A35,$A$24:$A$67,0),MATCH(Z$20,$B$20:$G$20,0))&lt;$D$6/OPDAYS_Cls1),86,payback(D35,U35,disc_rate/12,85))</f>
        <v>86</v>
      </c>
      <c r="AA35" s="294">
        <f>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3">
        <f t="shared" si="40"/>
        <v>0</v>
      </c>
      <c r="AJ35" s="1144">
        <f t="shared" si="41"/>
        <v>0</v>
      </c>
      <c r="AK35" s="1144">
        <f t="shared" si="42"/>
        <v>0</v>
      </c>
      <c r="AL35" s="1144">
        <f t="shared" si="43"/>
        <v>0</v>
      </c>
      <c r="AM35" s="1152">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si="48"/>
        <v>0</v>
      </c>
      <c r="AV35" s="297">
        <f t="shared" ca="1" si="49"/>
        <v>0</v>
      </c>
      <c r="AW35" s="298">
        <f t="shared" ca="1" si="50"/>
        <v>0</v>
      </c>
      <c r="AX35" s="296">
        <f t="shared" ca="1" si="51"/>
        <v>0</v>
      </c>
      <c r="AY35" s="297">
        <f t="shared" ca="1" si="52"/>
        <v>0</v>
      </c>
      <c r="AZ35" s="297">
        <f t="shared"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20">
        <f t="shared" si="74"/>
        <v>151412</v>
      </c>
      <c r="C36" s="821">
        <f t="shared" si="74"/>
        <v>1000000</v>
      </c>
      <c r="D36" s="821">
        <f t="shared" si="74"/>
        <v>1000000</v>
      </c>
      <c r="E36" s="821">
        <f t="shared" si="74"/>
        <v>1000000</v>
      </c>
      <c r="F36" s="821">
        <f t="shared" si="74"/>
        <v>1000000</v>
      </c>
      <c r="G36" s="822">
        <f t="shared" si="74"/>
        <v>1000000</v>
      </c>
      <c r="H36" s="781">
        <f t="shared" si="75"/>
        <v>1</v>
      </c>
      <c r="I36" s="782">
        <f t="shared" si="75"/>
        <v>1</v>
      </c>
      <c r="J36" s="782">
        <f t="shared" si="75"/>
        <v>1</v>
      </c>
      <c r="K36" s="782">
        <f t="shared" si="75"/>
        <v>1</v>
      </c>
      <c r="L36" s="782">
        <f t="shared" si="75"/>
        <v>1</v>
      </c>
      <c r="M36" s="783">
        <f t="shared" si="75"/>
        <v>1</v>
      </c>
      <c r="N36" s="275">
        <f t="shared" si="28"/>
        <v>8900.0319177625734</v>
      </c>
      <c r="O36" s="276">
        <f t="shared" si="29"/>
        <v>57257.038372427814</v>
      </c>
      <c r="P36" s="276">
        <f t="shared" si="30"/>
        <v>57257.038372427814</v>
      </c>
      <c r="Q36" s="276">
        <f t="shared" si="31"/>
        <v>172218.67259266533</v>
      </c>
      <c r="R36" s="276">
        <f t="shared" si="32"/>
        <v>192962.15644896321</v>
      </c>
      <c r="S36" s="278">
        <f t="shared" si="33"/>
        <v>57257.038372427814</v>
      </c>
      <c r="T36" s="734">
        <f t="shared" si="61"/>
        <v>-48357.006454665243</v>
      </c>
      <c r="U36" s="290">
        <f t="shared" si="62"/>
        <v>-48357.006454665243</v>
      </c>
      <c r="V36" s="290">
        <f t="shared" si="63"/>
        <v>-163318.64067490277</v>
      </c>
      <c r="W36" s="290">
        <f t="shared" si="64"/>
        <v>-184062.12453120065</v>
      </c>
      <c r="X36" s="291">
        <f t="shared" si="65"/>
        <v>-48357.006454665243</v>
      </c>
      <c r="Y36" s="293">
        <f ca="1">IF(AND(Y$22=TRUE,INDEX(CDRANGE_CLS1,MATCH($A36,$A$24:$A$67,0),MATCH(Y$20,$B$20:$G$20,0))&lt;$D$6/OPDAYS_Cls1),86,payback(C36,T36,disc_rate/12,85))</f>
        <v>86</v>
      </c>
      <c r="Z36" s="294">
        <f ca="1">IF(AND(Z$22=TRUE,INDEX(CDRANGE_CLS1,MATCH($A36,$A$24:$A$67,0),MATCH(Z$20,$B$20:$G$20,0))&lt;$D$6/OPDAYS_Cls1),86,payback(D36,U36,disc_rate/12,85))</f>
        <v>86</v>
      </c>
      <c r="AA36" s="294">
        <f>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3">
        <f t="shared" si="40"/>
        <v>0</v>
      </c>
      <c r="AJ36" s="1144">
        <f t="shared" si="41"/>
        <v>0</v>
      </c>
      <c r="AK36" s="1144">
        <f t="shared" si="42"/>
        <v>0</v>
      </c>
      <c r="AL36" s="1144">
        <f t="shared" si="43"/>
        <v>0</v>
      </c>
      <c r="AM36" s="1152">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si="48"/>
        <v>0</v>
      </c>
      <c r="AV36" s="297">
        <f t="shared" ca="1" si="49"/>
        <v>0</v>
      </c>
      <c r="AW36" s="298">
        <f t="shared" ca="1" si="50"/>
        <v>0</v>
      </c>
      <c r="AX36" s="296">
        <f t="shared" ca="1" si="51"/>
        <v>0</v>
      </c>
      <c r="AY36" s="297">
        <f t="shared" ca="1" si="52"/>
        <v>0</v>
      </c>
      <c r="AZ36" s="297">
        <f t="shared"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3.5" thickBot="1" x14ac:dyDescent="0.25">
      <c r="A37" s="618">
        <v>2020</v>
      </c>
      <c r="B37" s="814">
        <f t="shared" si="74"/>
        <v>151412</v>
      </c>
      <c r="C37" s="815">
        <f t="shared" si="74"/>
        <v>1000000</v>
      </c>
      <c r="D37" s="815">
        <f t="shared" si="74"/>
        <v>1000000</v>
      </c>
      <c r="E37" s="815">
        <f t="shared" si="74"/>
        <v>1000000</v>
      </c>
      <c r="F37" s="815">
        <f t="shared" si="74"/>
        <v>1000000</v>
      </c>
      <c r="G37" s="816">
        <f t="shared" si="74"/>
        <v>1000000</v>
      </c>
      <c r="H37" s="781">
        <f t="shared" si="75"/>
        <v>1</v>
      </c>
      <c r="I37" s="782">
        <f t="shared" si="75"/>
        <v>1</v>
      </c>
      <c r="J37" s="782">
        <f t="shared" si="75"/>
        <v>1</v>
      </c>
      <c r="K37" s="782">
        <f t="shared" si="75"/>
        <v>1</v>
      </c>
      <c r="L37" s="782">
        <f t="shared" si="75"/>
        <v>1</v>
      </c>
      <c r="M37" s="783">
        <f t="shared" si="75"/>
        <v>1</v>
      </c>
      <c r="N37" s="775">
        <f t="shared" si="28"/>
        <v>8521.0469518864611</v>
      </c>
      <c r="O37" s="776">
        <f t="shared" si="29"/>
        <v>55271.206650039851</v>
      </c>
      <c r="P37" s="776">
        <f t="shared" si="30"/>
        <v>55271.206650039851</v>
      </c>
      <c r="Q37" s="776">
        <f t="shared" si="31"/>
        <v>175637.84990936503</v>
      </c>
      <c r="R37" s="776">
        <f t="shared" si="32"/>
        <v>183314.04862651505</v>
      </c>
      <c r="S37" s="777">
        <f t="shared" si="33"/>
        <v>55271.206650039851</v>
      </c>
      <c r="T37" s="735">
        <f t="shared" si="61"/>
        <v>-46750.159698153388</v>
      </c>
      <c r="U37" s="619">
        <f t="shared" si="62"/>
        <v>-46750.159698153388</v>
      </c>
      <c r="V37" s="619">
        <f t="shared" si="63"/>
        <v>-167116.80295747856</v>
      </c>
      <c r="W37" s="619">
        <f t="shared" si="64"/>
        <v>-174793.00167462858</v>
      </c>
      <c r="X37" s="620">
        <f t="shared" si="65"/>
        <v>-46750.159698153388</v>
      </c>
      <c r="Y37" s="621">
        <f ca="1">IF(AND(Y$22=TRUE,INDEX(CDRANGE_CLS1,MATCH($A37,$A$24:$A$67,0),MATCH(Y$20,$B$20:$G$20,0))&lt;$D$6/OPDAYS_Cls1),86,payback(C37,T37,disc_rate/12,85))</f>
        <v>86</v>
      </c>
      <c r="Z37" s="622">
        <f ca="1">IF(AND(Z$22=TRUE,INDEX(CDRANGE_CLS1,MATCH($A37,$A$24:$A$67,0),MATCH(Z$20,$B$20:$G$20,0))&lt;$D$6/OPDAYS_Cls1),86,payback(D37,U37,disc_rate/12,85))</f>
        <v>86</v>
      </c>
      <c r="AA37" s="622">
        <f>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5">
        <f t="shared" si="40"/>
        <v>0</v>
      </c>
      <c r="AJ37" s="1156">
        <f t="shared" si="41"/>
        <v>0</v>
      </c>
      <c r="AK37" s="1156">
        <f t="shared" si="42"/>
        <v>0</v>
      </c>
      <c r="AL37" s="1156">
        <f t="shared" si="43"/>
        <v>0</v>
      </c>
      <c r="AM37" s="1157">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si="48"/>
        <v>0</v>
      </c>
      <c r="AV37" s="625">
        <f t="shared" ca="1" si="49"/>
        <v>0</v>
      </c>
      <c r="AW37" s="626">
        <f t="shared" ca="1" si="50"/>
        <v>0</v>
      </c>
      <c r="AX37" s="624">
        <f t="shared" ca="1" si="51"/>
        <v>0</v>
      </c>
      <c r="AY37" s="625">
        <f t="shared" ca="1" si="52"/>
        <v>0</v>
      </c>
      <c r="AZ37" s="625">
        <f t="shared"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7">
        <f t="shared" si="74"/>
        <v>151412</v>
      </c>
      <c r="C38" s="818">
        <f t="shared" si="74"/>
        <v>1000000</v>
      </c>
      <c r="D38" s="818">
        <f t="shared" si="74"/>
        <v>1000000</v>
      </c>
      <c r="E38" s="818">
        <f t="shared" si="74"/>
        <v>1000000</v>
      </c>
      <c r="F38" s="818">
        <f t="shared" si="74"/>
        <v>1000000</v>
      </c>
      <c r="G38" s="819">
        <f t="shared" si="74"/>
        <v>1000000</v>
      </c>
      <c r="H38" s="781">
        <f t="shared" si="75"/>
        <v>1</v>
      </c>
      <c r="I38" s="782">
        <f t="shared" si="75"/>
        <v>1</v>
      </c>
      <c r="J38" s="782">
        <f t="shared" si="75"/>
        <v>1</v>
      </c>
      <c r="K38" s="782">
        <f t="shared" si="75"/>
        <v>1</v>
      </c>
      <c r="L38" s="782">
        <f t="shared" si="75"/>
        <v>1</v>
      </c>
      <c r="M38" s="783">
        <f t="shared" si="75"/>
        <v>1</v>
      </c>
      <c r="N38" s="631">
        <f t="shared" si="28"/>
        <v>8562.6343620798889</v>
      </c>
      <c r="O38" s="632">
        <f t="shared" si="29"/>
        <v>8548.695106002986</v>
      </c>
      <c r="P38" s="632">
        <f t="shared" si="30"/>
        <v>8022.768541580228</v>
      </c>
      <c r="Q38" s="632">
        <f t="shared" si="31"/>
        <v>13086.820055098646</v>
      </c>
      <c r="R38" s="632">
        <f t="shared" si="32"/>
        <v>20090.990679903305</v>
      </c>
      <c r="S38" s="745">
        <f t="shared" si="33"/>
        <v>55562.02630307147</v>
      </c>
      <c r="T38" s="736">
        <f t="shared" si="61"/>
        <v>13.939256076902893</v>
      </c>
      <c r="U38" s="632">
        <f t="shared" si="62"/>
        <v>539.86582049966091</v>
      </c>
      <c r="V38" s="632">
        <f t="shared" si="63"/>
        <v>-4524.1856930187569</v>
      </c>
      <c r="W38" s="632">
        <f t="shared" si="64"/>
        <v>-11528.356317823416</v>
      </c>
      <c r="X38" s="633">
        <f t="shared" si="65"/>
        <v>-46999.391940991583</v>
      </c>
      <c r="Y38" s="634">
        <f ca="1">IF(AND(Y$22=TRUE,INDEX(CDRANGE_CLS1,MATCH($A38,$A$24:$A$67,0),MATCH(Y$20,$B$20:$G$20,0))&lt;$D$6/OPDAYS_Cls1),86,payback(C38,T38,disc_rate/12,85))</f>
        <v>86</v>
      </c>
      <c r="Z38" s="635">
        <f ca="1">IF(AND(Z$22=TRUE,INDEX(CDRANGE_CLS1,MATCH($A38,$A$24:$A$67,0),MATCH(Z$20,$B$20:$G$20,0))&lt;$D$6/OPDAYS_Cls1),86,payback(D38,U38,disc_rate/12,85))</f>
        <v>86</v>
      </c>
      <c r="AA38" s="635">
        <f>IF(AND(AA$22=TRUE,INDEX(CDRANGE_CLS1,MATCH($A38,$A$24:$A$67,0),MATCH(AA$20,$B$20:$G$20,0))&lt;$D$6/OPDAYS_Cls1),86,payback(E38,V38,disc_rate/12,85))</f>
        <v>86</v>
      </c>
      <c r="AB38" s="635">
        <f ca="1">IF(AND(AB$22=TRUE,INDEX(CDRANGE_CLS1,MATCH($A38,$A$24:$A$67,0),MATCH(AB$20,$B$20:$G$20,0))&lt;$D$6/OPDAYS_Cls1),86,payback(F38,W38,disc_rate/12,85))</f>
        <v>86</v>
      </c>
      <c r="AC38" s="636">
        <f ca="1">IF(AND(AC$22=TRUE,INDEX(CDRANGE_CLS1,MATCH($A38,$A$24:$A$67,0),MATCH(AC$20,$B$20:$G$20,0))&lt;$D$6/OPDAYS_Cls1),86,payback(G38,X38,disc_rate/12,85))</f>
        <v>86</v>
      </c>
      <c r="AD38" s="637">
        <f t="shared" si="35"/>
        <v>0</v>
      </c>
      <c r="AE38" s="638">
        <f t="shared" si="36"/>
        <v>0</v>
      </c>
      <c r="AF38" s="638">
        <f t="shared" si="37"/>
        <v>0</v>
      </c>
      <c r="AG38" s="638">
        <f t="shared" si="38"/>
        <v>0</v>
      </c>
      <c r="AH38" s="639">
        <f t="shared" si="39"/>
        <v>0</v>
      </c>
      <c r="AI38" s="1149">
        <f t="shared" si="40"/>
        <v>0</v>
      </c>
      <c r="AJ38" s="1150">
        <f t="shared" si="41"/>
        <v>0</v>
      </c>
      <c r="AK38" s="1150">
        <f t="shared" si="42"/>
        <v>0</v>
      </c>
      <c r="AL38" s="1150">
        <f t="shared" si="43"/>
        <v>0</v>
      </c>
      <c r="AM38" s="1151">
        <f t="shared" si="44"/>
        <v>0</v>
      </c>
      <c r="AN38" s="643">
        <f t="shared" si="66"/>
        <v>0</v>
      </c>
      <c r="AO38" s="641">
        <f t="shared" si="67"/>
        <v>0</v>
      </c>
      <c r="AP38" s="641">
        <f t="shared" si="68"/>
        <v>0</v>
      </c>
      <c r="AQ38" s="641">
        <f t="shared" si="69"/>
        <v>0</v>
      </c>
      <c r="AR38" s="642">
        <f t="shared" si="70"/>
        <v>0</v>
      </c>
      <c r="AS38" s="637">
        <f t="shared" ca="1" si="46"/>
        <v>0</v>
      </c>
      <c r="AT38" s="638">
        <f t="shared" ca="1" si="47"/>
        <v>0</v>
      </c>
      <c r="AU38" s="638">
        <f t="shared" si="48"/>
        <v>0</v>
      </c>
      <c r="AV38" s="638">
        <f t="shared" ca="1" si="49"/>
        <v>0</v>
      </c>
      <c r="AW38" s="639">
        <f t="shared" ca="1" si="50"/>
        <v>0</v>
      </c>
      <c r="AX38" s="637">
        <f t="shared" ca="1" si="51"/>
        <v>0</v>
      </c>
      <c r="AY38" s="638">
        <f t="shared" ca="1" si="52"/>
        <v>0</v>
      </c>
      <c r="AZ38" s="638">
        <f t="shared" si="53"/>
        <v>0</v>
      </c>
      <c r="BA38" s="638">
        <f t="shared" ca="1" si="71"/>
        <v>0</v>
      </c>
      <c r="BB38" s="639">
        <f t="shared" ca="1" si="72"/>
        <v>0</v>
      </c>
      <c r="BC38" s="637">
        <f t="shared" ca="1" si="73"/>
        <v>1</v>
      </c>
      <c r="BD38" s="638">
        <f t="shared" ca="1" si="56"/>
        <v>0</v>
      </c>
      <c r="BE38" s="638">
        <f t="shared" ca="1" si="57"/>
        <v>0</v>
      </c>
      <c r="BF38" s="638">
        <f t="shared" ca="1" si="58"/>
        <v>0</v>
      </c>
      <c r="BG38" s="638">
        <f t="shared" ca="1" si="59"/>
        <v>0</v>
      </c>
      <c r="BH38" s="639">
        <f t="shared" ca="1" si="60"/>
        <v>0</v>
      </c>
    </row>
    <row r="39" spans="1:62" x14ac:dyDescent="0.2">
      <c r="A39" s="317">
        <v>2022</v>
      </c>
      <c r="B39" s="820">
        <f t="shared" si="74"/>
        <v>152694.04999999999</v>
      </c>
      <c r="C39" s="821">
        <f t="shared" si="74"/>
        <v>1000000</v>
      </c>
      <c r="D39" s="821">
        <f t="shared" si="74"/>
        <v>1000000</v>
      </c>
      <c r="E39" s="821">
        <f t="shared" si="74"/>
        <v>1000000</v>
      </c>
      <c r="F39" s="821">
        <f t="shared" si="74"/>
        <v>1000000</v>
      </c>
      <c r="G39" s="822">
        <f t="shared" si="74"/>
        <v>1000000</v>
      </c>
      <c r="H39" s="781">
        <f t="shared" si="75"/>
        <v>1</v>
      </c>
      <c r="I39" s="782">
        <f t="shared" si="75"/>
        <v>1</v>
      </c>
      <c r="J39" s="782">
        <f t="shared" si="75"/>
        <v>1</v>
      </c>
      <c r="K39" s="782">
        <f t="shared" si="75"/>
        <v>1</v>
      </c>
      <c r="L39" s="782">
        <f t="shared" si="75"/>
        <v>1</v>
      </c>
      <c r="M39" s="783">
        <f t="shared" si="75"/>
        <v>1</v>
      </c>
      <c r="N39" s="275">
        <f t="shared" si="28"/>
        <v>8526.2884062467092</v>
      </c>
      <c r="O39" s="276">
        <f t="shared" si="29"/>
        <v>8421.2029476380721</v>
      </c>
      <c r="P39" s="276">
        <f t="shared" si="30"/>
        <v>7891.7616920354976</v>
      </c>
      <c r="Q39" s="276">
        <f t="shared" si="31"/>
        <v>12981.704330202117</v>
      </c>
      <c r="R39" s="276">
        <f t="shared" si="32"/>
        <v>18490.212351596812</v>
      </c>
      <c r="S39" s="278">
        <f t="shared" si="33"/>
        <v>56432.615605521547</v>
      </c>
      <c r="T39" s="734">
        <f t="shared" si="61"/>
        <v>105.08545860863705</v>
      </c>
      <c r="U39" s="290">
        <f t="shared" si="62"/>
        <v>634.52671421121158</v>
      </c>
      <c r="V39" s="290">
        <f t="shared" si="63"/>
        <v>-4455.4159239554083</v>
      </c>
      <c r="W39" s="290">
        <f t="shared" si="64"/>
        <v>-9963.9239453501032</v>
      </c>
      <c r="X39" s="291">
        <f t="shared" si="65"/>
        <v>-47906.327199274834</v>
      </c>
      <c r="Y39" s="293">
        <f ca="1">IF(AND(Y$22=TRUE,INDEX(CDRANGE_CLS1,MATCH($A39,$A$24:$A$67,0),MATCH(Y$20,$B$20:$G$20,0))&lt;$D$6/OPDAYS_Cls1),86,payback(C39,T39,disc_rate/12,85))</f>
        <v>86</v>
      </c>
      <c r="Z39" s="294">
        <f ca="1">IF(AND(Z$22=TRUE,INDEX(CDRANGE_CLS1,MATCH($A39,$A$24:$A$67,0),MATCH(Z$20,$B$20:$G$20,0))&lt;$D$6/OPDAYS_Cls1),86,payback(D39,U39,disc_rate/12,85))</f>
        <v>86</v>
      </c>
      <c r="AA39" s="294">
        <f>IF(AND(AA$22=TRUE,INDEX(CDRANGE_CLS1,MATCH($A39,$A$24:$A$67,0),MATCH(AA$20,$B$20:$G$20,0))&lt;$D$6/OPDAYS_Cls1),86,payback(E39,V39,disc_rate/12,85))</f>
        <v>86</v>
      </c>
      <c r="AB39" s="294">
        <f ca="1">IF(AND(AB$22=TRUE,INDEX(CDRANGE_CLS1,MATCH($A39,$A$24:$A$67,0),MATCH(AB$20,$B$20:$G$20,0))&lt;$D$6/OPDAYS_Cls1),86,payback(F39,W39,disc_rate/12,85))</f>
        <v>86</v>
      </c>
      <c r="AC39" s="592">
        <f ca="1">IF(AND(AC$22=TRUE,INDEX(CDRANGE_CLS1,MATCH($A39,$A$24:$A$67,0),MATCH(AC$20,$B$20:$G$20,0))&lt;$D$6/OPDAYS_Cls1),86,payback(G39,X39,disc_rate/12,85))</f>
        <v>86</v>
      </c>
      <c r="AD39" s="296">
        <f t="shared" si="35"/>
        <v>0</v>
      </c>
      <c r="AE39" s="297">
        <f t="shared" si="36"/>
        <v>0</v>
      </c>
      <c r="AF39" s="297">
        <f t="shared" si="37"/>
        <v>0</v>
      </c>
      <c r="AG39" s="297">
        <f t="shared" si="38"/>
        <v>0</v>
      </c>
      <c r="AH39" s="298">
        <f t="shared" si="39"/>
        <v>0</v>
      </c>
      <c r="AI39" s="1143">
        <f t="shared" si="40"/>
        <v>0</v>
      </c>
      <c r="AJ39" s="1144">
        <f t="shared" si="41"/>
        <v>0</v>
      </c>
      <c r="AK39" s="1144">
        <f t="shared" si="42"/>
        <v>0</v>
      </c>
      <c r="AL39" s="1144">
        <f t="shared" si="43"/>
        <v>0</v>
      </c>
      <c r="AM39" s="1152">
        <f t="shared" si="44"/>
        <v>0</v>
      </c>
      <c r="AN39" s="299">
        <f t="shared" si="66"/>
        <v>0</v>
      </c>
      <c r="AO39" s="300">
        <f t="shared" si="67"/>
        <v>0</v>
      </c>
      <c r="AP39" s="300">
        <f t="shared" si="68"/>
        <v>0</v>
      </c>
      <c r="AQ39" s="300">
        <f t="shared" si="69"/>
        <v>0</v>
      </c>
      <c r="AR39" s="598">
        <f t="shared" si="70"/>
        <v>0</v>
      </c>
      <c r="AS39" s="296">
        <f t="shared" ca="1" si="46"/>
        <v>0</v>
      </c>
      <c r="AT39" s="297">
        <f t="shared" ca="1" si="47"/>
        <v>0</v>
      </c>
      <c r="AU39" s="297">
        <f t="shared" si="48"/>
        <v>0</v>
      </c>
      <c r="AV39" s="297">
        <f t="shared" ca="1" si="49"/>
        <v>0</v>
      </c>
      <c r="AW39" s="298">
        <f t="shared" ca="1" si="50"/>
        <v>0</v>
      </c>
      <c r="AX39" s="296">
        <f t="shared" ca="1" si="51"/>
        <v>0</v>
      </c>
      <c r="AY39" s="297">
        <f t="shared" ca="1" si="52"/>
        <v>0</v>
      </c>
      <c r="AZ39" s="297">
        <f t="shared" si="53"/>
        <v>0</v>
      </c>
      <c r="BA39" s="297">
        <f t="shared" ca="1" si="71"/>
        <v>0</v>
      </c>
      <c r="BB39" s="298">
        <f t="shared" ca="1" si="72"/>
        <v>0</v>
      </c>
      <c r="BC39" s="296">
        <f t="shared" ca="1" si="73"/>
        <v>1</v>
      </c>
      <c r="BD39" s="297">
        <f t="shared" ca="1" si="56"/>
        <v>0</v>
      </c>
      <c r="BE39" s="297">
        <f t="shared" ca="1" si="57"/>
        <v>0</v>
      </c>
      <c r="BF39" s="297">
        <f t="shared" ca="1" si="58"/>
        <v>0</v>
      </c>
      <c r="BG39" s="297">
        <f t="shared" ca="1" si="59"/>
        <v>0</v>
      </c>
      <c r="BH39" s="298">
        <f t="shared" ca="1" si="60"/>
        <v>0</v>
      </c>
      <c r="BI39" s="227" t="e">
        <f ca="1">(AK39*AZ39/SUMPRODUCT($AI39:$AM39,$AX39:$BB39))</f>
        <v>#DIV/0!</v>
      </c>
    </row>
    <row r="40" spans="1:62" x14ac:dyDescent="0.2">
      <c r="A40" s="317">
        <v>2023</v>
      </c>
      <c r="B40" s="820">
        <f t="shared" si="74"/>
        <v>153887.62</v>
      </c>
      <c r="C40" s="821">
        <f t="shared" si="74"/>
        <v>1000000</v>
      </c>
      <c r="D40" s="821">
        <f t="shared" si="74"/>
        <v>1000000</v>
      </c>
      <c r="E40" s="821">
        <f t="shared" si="74"/>
        <v>1000000</v>
      </c>
      <c r="F40" s="821">
        <f t="shared" si="74"/>
        <v>1000000</v>
      </c>
      <c r="G40" s="822">
        <f t="shared" si="74"/>
        <v>1000000</v>
      </c>
      <c r="H40" s="781">
        <f t="shared" si="75"/>
        <v>1</v>
      </c>
      <c r="I40" s="782">
        <f t="shared" si="75"/>
        <v>1</v>
      </c>
      <c r="J40" s="782">
        <f t="shared" si="75"/>
        <v>1</v>
      </c>
      <c r="K40" s="782">
        <f t="shared" si="75"/>
        <v>1</v>
      </c>
      <c r="L40" s="782">
        <f t="shared" si="75"/>
        <v>1</v>
      </c>
      <c r="M40" s="783">
        <f t="shared" si="75"/>
        <v>1</v>
      </c>
      <c r="N40" s="275">
        <f t="shared" si="28"/>
        <v>8421.5311677094905</v>
      </c>
      <c r="O40" s="276">
        <f t="shared" si="29"/>
        <v>8272.4341838923428</v>
      </c>
      <c r="P40" s="276">
        <f t="shared" si="30"/>
        <v>7744.002221419978</v>
      </c>
      <c r="Q40" s="276">
        <f t="shared" si="31"/>
        <v>12986.571356329066</v>
      </c>
      <c r="R40" s="276">
        <f t="shared" si="32"/>
        <v>17057.779810173233</v>
      </c>
      <c r="S40" s="278">
        <f t="shared" si="33"/>
        <v>56756.679928920646</v>
      </c>
      <c r="T40" s="734">
        <f t="shared" si="61"/>
        <v>149.0969838171477</v>
      </c>
      <c r="U40" s="290">
        <f t="shared" si="62"/>
        <v>677.52894628951253</v>
      </c>
      <c r="V40" s="290">
        <f t="shared" si="63"/>
        <v>-4565.0401886195759</v>
      </c>
      <c r="W40" s="290">
        <f t="shared" si="64"/>
        <v>-8636.2486424637427</v>
      </c>
      <c r="X40" s="291">
        <f t="shared" si="65"/>
        <v>-48335.148761211152</v>
      </c>
      <c r="Y40" s="293">
        <f ca="1">IF(AND(Y$22=TRUE,INDEX(CDRANGE_CLS1,MATCH($A40,$A$24:$A$67,0),MATCH(Y$20,$B$20:$G$20,0))&lt;$D$6/OPDAYS_Cls1),86,payback(C40,T40,disc_rate/12,85))</f>
        <v>86</v>
      </c>
      <c r="Z40" s="294">
        <f ca="1">IF(AND(Z$22=TRUE,INDEX(CDRANGE_CLS1,MATCH($A40,$A$24:$A$67,0),MATCH(Z$20,$B$20:$G$20,0))&lt;$D$6/OPDAYS_Cls1),86,payback(D40,U40,disc_rate/12,85))</f>
        <v>86</v>
      </c>
      <c r="AA40" s="294">
        <f>IF(AND(AA$22=TRUE,INDEX(CDRANGE_CLS1,MATCH($A40,$A$24:$A$67,0),MATCH(AA$20,$B$20:$G$20,0))&lt;$D$6/OPDAYS_Cls1),86,payback(E40,V40,disc_rate/12,85))</f>
        <v>86</v>
      </c>
      <c r="AB40" s="294">
        <f ca="1">IF(AND(AB$22=TRUE,INDEX(CDRANGE_CLS1,MATCH($A40,$A$24:$A$67,0),MATCH(AB$20,$B$20:$G$20,0))&lt;$D$6/OPDAYS_Cls1),86,payback(F40,W40,disc_rate/12,85))</f>
        <v>86</v>
      </c>
      <c r="AC40" s="592">
        <f ca="1">IF(AND(AC$22=TRUE,INDEX(CDRANGE_CLS1,MATCH($A40,$A$24:$A$67,0),MATCH(AC$20,$B$20:$G$20,0))&lt;$D$6/OPDAYS_Cls1),86,payback(G40,X40,disc_rate/12,85))</f>
        <v>86</v>
      </c>
      <c r="AD40" s="296">
        <f t="shared" si="35"/>
        <v>0</v>
      </c>
      <c r="AE40" s="297">
        <f t="shared" si="36"/>
        <v>0</v>
      </c>
      <c r="AF40" s="297">
        <f t="shared" si="37"/>
        <v>0</v>
      </c>
      <c r="AG40" s="297">
        <f t="shared" si="38"/>
        <v>0</v>
      </c>
      <c r="AH40" s="298">
        <f t="shared" si="39"/>
        <v>0</v>
      </c>
      <c r="AI40" s="1143">
        <f t="shared" si="40"/>
        <v>0</v>
      </c>
      <c r="AJ40" s="1144">
        <f t="shared" si="41"/>
        <v>0</v>
      </c>
      <c r="AK40" s="1144">
        <f t="shared" si="42"/>
        <v>0</v>
      </c>
      <c r="AL40" s="1144">
        <f t="shared" si="43"/>
        <v>0</v>
      </c>
      <c r="AM40" s="1152">
        <f t="shared" si="44"/>
        <v>0</v>
      </c>
      <c r="AN40" s="299">
        <f t="shared" si="66"/>
        <v>0</v>
      </c>
      <c r="AO40" s="300">
        <f t="shared" si="67"/>
        <v>0</v>
      </c>
      <c r="AP40" s="300">
        <f t="shared" si="68"/>
        <v>0</v>
      </c>
      <c r="AQ40" s="300">
        <f t="shared" si="69"/>
        <v>0</v>
      </c>
      <c r="AR40" s="598">
        <f t="shared" si="70"/>
        <v>0</v>
      </c>
      <c r="AS40" s="296">
        <f t="shared" ca="1" si="46"/>
        <v>0</v>
      </c>
      <c r="AT40" s="297">
        <f t="shared" ca="1" si="47"/>
        <v>0</v>
      </c>
      <c r="AU40" s="297">
        <f t="shared" si="48"/>
        <v>0</v>
      </c>
      <c r="AV40" s="297">
        <f t="shared" ca="1" si="49"/>
        <v>0</v>
      </c>
      <c r="AW40" s="298">
        <f t="shared" ca="1" si="50"/>
        <v>0</v>
      </c>
      <c r="AX40" s="296">
        <f t="shared" ca="1" si="51"/>
        <v>0</v>
      </c>
      <c r="AY40" s="297">
        <f t="shared" ca="1" si="52"/>
        <v>0</v>
      </c>
      <c r="AZ40" s="297">
        <f t="shared" si="53"/>
        <v>0</v>
      </c>
      <c r="BA40" s="297">
        <f t="shared" ca="1" si="71"/>
        <v>0</v>
      </c>
      <c r="BB40" s="298">
        <f t="shared" ca="1" si="72"/>
        <v>0</v>
      </c>
      <c r="BC40" s="296">
        <f t="shared" ca="1" si="73"/>
        <v>1</v>
      </c>
      <c r="BD40" s="297">
        <f t="shared" ca="1" si="56"/>
        <v>0</v>
      </c>
      <c r="BE40" s="297">
        <f t="shared" ca="1" si="57"/>
        <v>0</v>
      </c>
      <c r="BF40" s="297">
        <f t="shared" ca="1" si="58"/>
        <v>0</v>
      </c>
      <c r="BG40" s="297">
        <f t="shared" ca="1" si="59"/>
        <v>0</v>
      </c>
      <c r="BH40" s="298">
        <f t="shared" ca="1" si="60"/>
        <v>0</v>
      </c>
    </row>
    <row r="41" spans="1:62" x14ac:dyDescent="0.2">
      <c r="A41" s="317">
        <v>2024</v>
      </c>
      <c r="B41" s="820">
        <f t="shared" si="74"/>
        <v>155468.99</v>
      </c>
      <c r="C41" s="821">
        <f t="shared" si="74"/>
        <v>1000000</v>
      </c>
      <c r="D41" s="821">
        <f t="shared" si="74"/>
        <v>1000000</v>
      </c>
      <c r="E41" s="821">
        <f t="shared" si="74"/>
        <v>1000000</v>
      </c>
      <c r="F41" s="821">
        <f t="shared" si="74"/>
        <v>1000000</v>
      </c>
      <c r="G41" s="822">
        <f t="shared" si="74"/>
        <v>1000000</v>
      </c>
      <c r="H41" s="781">
        <f t="shared" si="75"/>
        <v>1</v>
      </c>
      <c r="I41" s="782">
        <f t="shared" si="75"/>
        <v>1</v>
      </c>
      <c r="J41" s="782">
        <f t="shared" si="75"/>
        <v>1</v>
      </c>
      <c r="K41" s="782">
        <f t="shared" si="75"/>
        <v>1</v>
      </c>
      <c r="L41" s="782">
        <f t="shared" si="75"/>
        <v>1</v>
      </c>
      <c r="M41" s="783">
        <f t="shared" si="75"/>
        <v>1</v>
      </c>
      <c r="N41" s="275">
        <f t="shared" si="28"/>
        <v>8374.5029173644361</v>
      </c>
      <c r="O41" s="276">
        <f t="shared" si="29"/>
        <v>8172.2985520372058</v>
      </c>
      <c r="P41" s="276">
        <f t="shared" si="30"/>
        <v>7640.0475155254635</v>
      </c>
      <c r="Q41" s="276">
        <f t="shared" si="31"/>
        <v>12914.145184210727</v>
      </c>
      <c r="R41" s="276">
        <f t="shared" si="32"/>
        <v>15586.910038029206</v>
      </c>
      <c r="S41" s="278">
        <f t="shared" si="33"/>
        <v>57780.182285210867</v>
      </c>
      <c r="T41" s="734">
        <f t="shared" si="61"/>
        <v>202.20436532723033</v>
      </c>
      <c r="U41" s="290">
        <f t="shared" si="62"/>
        <v>734.45540183897265</v>
      </c>
      <c r="V41" s="290">
        <f t="shared" si="63"/>
        <v>-4539.642266846291</v>
      </c>
      <c r="W41" s="290">
        <f t="shared" si="64"/>
        <v>-7212.4071206647695</v>
      </c>
      <c r="X41" s="291">
        <f t="shared" si="65"/>
        <v>-49405.679367846431</v>
      </c>
      <c r="Y41" s="293">
        <f ca="1">IF(AND(Y$22=TRUE,INDEX(CDRANGE_CLS1,MATCH($A41,$A$24:$A$67,0),MATCH(Y$20,$B$20:$G$20,0))&lt;$D$6/OPDAYS_Cls1),86,payback(C41,T41,disc_rate/12,85))</f>
        <v>86</v>
      </c>
      <c r="Z41" s="294">
        <f ca="1">IF(AND(Z$22=TRUE,INDEX(CDRANGE_CLS1,MATCH($A41,$A$24:$A$67,0),MATCH(Z$20,$B$20:$G$20,0))&lt;$D$6/OPDAYS_Cls1),86,payback(D41,U41,disc_rate/12,85))</f>
        <v>86</v>
      </c>
      <c r="AA41" s="294">
        <f>IF(AND(AA$22=TRUE,INDEX(CDRANGE_CLS1,MATCH($A41,$A$24:$A$67,0),MATCH(AA$20,$B$20:$G$20,0))&lt;$D$6/OPDAYS_Cls1),86,payback(E41,V41,disc_rate/12,85))</f>
        <v>86</v>
      </c>
      <c r="AB41" s="294">
        <f ca="1">IF(AND(AB$22=TRUE,INDEX(CDRANGE_CLS1,MATCH($A41,$A$24:$A$67,0),MATCH(AB$20,$B$20:$G$20,0))&lt;$D$6/OPDAYS_Cls1),86,payback(F41,W41,disc_rate/12,85))</f>
        <v>86</v>
      </c>
      <c r="AC41" s="592">
        <f ca="1">IF(AND(AC$22=TRUE,INDEX(CDRANGE_CLS1,MATCH($A41,$A$24:$A$67,0),MATCH(AC$20,$B$20:$G$20,0))&lt;$D$6/OPDAYS_Cls1),86,payback(G41,X41,disc_rate/12,85))</f>
        <v>86</v>
      </c>
      <c r="AD41" s="296">
        <f t="shared" si="35"/>
        <v>0</v>
      </c>
      <c r="AE41" s="297">
        <f t="shared" si="36"/>
        <v>0</v>
      </c>
      <c r="AF41" s="297">
        <f t="shared" si="37"/>
        <v>0</v>
      </c>
      <c r="AG41" s="297">
        <f t="shared" si="38"/>
        <v>0</v>
      </c>
      <c r="AH41" s="298">
        <f t="shared" si="39"/>
        <v>0</v>
      </c>
      <c r="AI41" s="1143">
        <f t="shared" si="40"/>
        <v>0</v>
      </c>
      <c r="AJ41" s="1144">
        <f t="shared" si="41"/>
        <v>0</v>
      </c>
      <c r="AK41" s="1144">
        <f t="shared" si="42"/>
        <v>0</v>
      </c>
      <c r="AL41" s="1144">
        <f t="shared" si="43"/>
        <v>0</v>
      </c>
      <c r="AM41" s="1152">
        <f t="shared" si="44"/>
        <v>0</v>
      </c>
      <c r="AN41" s="299">
        <f t="shared" si="66"/>
        <v>0</v>
      </c>
      <c r="AO41" s="300">
        <f t="shared" si="67"/>
        <v>0</v>
      </c>
      <c r="AP41" s="300">
        <f t="shared" si="68"/>
        <v>0</v>
      </c>
      <c r="AQ41" s="300">
        <f t="shared" si="69"/>
        <v>0</v>
      </c>
      <c r="AR41" s="598">
        <f t="shared" si="70"/>
        <v>0</v>
      </c>
      <c r="AS41" s="296">
        <f t="shared" ca="1" si="46"/>
        <v>0</v>
      </c>
      <c r="AT41" s="297">
        <f t="shared" ca="1" si="47"/>
        <v>0</v>
      </c>
      <c r="AU41" s="297">
        <f t="shared" si="48"/>
        <v>0</v>
      </c>
      <c r="AV41" s="297">
        <f t="shared" ca="1" si="49"/>
        <v>0</v>
      </c>
      <c r="AW41" s="298">
        <f t="shared" ca="1" si="50"/>
        <v>0</v>
      </c>
      <c r="AX41" s="296">
        <f t="shared" ca="1" si="51"/>
        <v>0</v>
      </c>
      <c r="AY41" s="297">
        <f t="shared" ca="1" si="52"/>
        <v>0</v>
      </c>
      <c r="AZ41" s="297">
        <f t="shared" si="53"/>
        <v>0</v>
      </c>
      <c r="BA41" s="297">
        <f t="shared" ca="1" si="71"/>
        <v>0</v>
      </c>
      <c r="BB41" s="298">
        <f t="shared" ca="1" si="72"/>
        <v>0</v>
      </c>
      <c r="BC41" s="296">
        <f t="shared" ca="1" si="73"/>
        <v>1</v>
      </c>
      <c r="BD41" s="297">
        <f t="shared" ca="1" si="56"/>
        <v>0</v>
      </c>
      <c r="BE41" s="297">
        <f t="shared" ca="1" si="57"/>
        <v>0</v>
      </c>
      <c r="BF41" s="297">
        <f t="shared" ca="1" si="58"/>
        <v>0</v>
      </c>
      <c r="BG41" s="297">
        <f t="shared" ca="1" si="59"/>
        <v>0</v>
      </c>
      <c r="BH41" s="298">
        <f t="shared" ca="1" si="60"/>
        <v>0</v>
      </c>
    </row>
    <row r="42" spans="1:62" ht="13.5" thickBot="1" x14ac:dyDescent="0.25">
      <c r="A42" s="302">
        <v>2025</v>
      </c>
      <c r="B42" s="823">
        <f t="shared" si="74"/>
        <v>157278.04</v>
      </c>
      <c r="C42" s="824">
        <f t="shared" si="74"/>
        <v>1370.35</v>
      </c>
      <c r="D42" s="824">
        <f t="shared" si="74"/>
        <v>9327.48</v>
      </c>
      <c r="E42" s="824">
        <f t="shared" si="74"/>
        <v>548412.85</v>
      </c>
      <c r="F42" s="824">
        <f t="shared" si="74"/>
        <v>140076.37</v>
      </c>
      <c r="G42" s="825">
        <f t="shared" si="74"/>
        <v>1000000</v>
      </c>
      <c r="H42" s="781">
        <f t="shared" si="75"/>
        <v>1</v>
      </c>
      <c r="I42" s="782">
        <f t="shared" si="75"/>
        <v>1</v>
      </c>
      <c r="J42" s="782">
        <f t="shared" si="75"/>
        <v>1</v>
      </c>
      <c r="K42" s="782">
        <f t="shared" si="75"/>
        <v>1</v>
      </c>
      <c r="L42" s="782">
        <f t="shared" si="75"/>
        <v>1</v>
      </c>
      <c r="M42" s="783">
        <f t="shared" si="75"/>
        <v>1</v>
      </c>
      <c r="N42" s="778">
        <f t="shared" si="28"/>
        <v>8206.629165770395</v>
      </c>
      <c r="O42" s="779">
        <f t="shared" si="29"/>
        <v>7984.6408626983894</v>
      </c>
      <c r="P42" s="779">
        <f t="shared" si="30"/>
        <v>7455.2290339000338</v>
      </c>
      <c r="Q42" s="779">
        <f t="shared" si="31"/>
        <v>12938.984405547084</v>
      </c>
      <c r="R42" s="779">
        <f t="shared" si="32"/>
        <v>14188.659390629802</v>
      </c>
      <c r="S42" s="780">
        <f t="shared" si="33"/>
        <v>58124.644510813137</v>
      </c>
      <c r="T42" s="737">
        <f t="shared" si="61"/>
        <v>221.98830307200569</v>
      </c>
      <c r="U42" s="304">
        <f t="shared" si="62"/>
        <v>751.40013187036129</v>
      </c>
      <c r="V42" s="304">
        <f t="shared" si="63"/>
        <v>-4732.3552397766889</v>
      </c>
      <c r="W42" s="304">
        <f t="shared" si="64"/>
        <v>-5982.0302248594071</v>
      </c>
      <c r="X42" s="305">
        <f t="shared" si="65"/>
        <v>-49918.015345042746</v>
      </c>
      <c r="Y42" s="307">
        <f ca="1">IF(AND(Y$22=TRUE,INDEX(CDRANGE_CLS1,MATCH($A42,$A$24:$A$67,0),MATCH(Y$20,$B$20:$G$20,0))&lt;$D$6/OPDAYS_Cls1),86,payback(C42,T42,disc_rate/12,85))</f>
        <v>7</v>
      </c>
      <c r="Z42" s="308">
        <f ca="1">IF(AND(Z$22=TRUE,INDEX(CDRANGE_CLS1,MATCH($A42,$A$24:$A$67,0),MATCH(Z$20,$B$20:$G$20,0))&lt;$D$6/OPDAYS_Cls1),86,payback(D42,U42,disc_rate/12,85))</f>
        <v>13</v>
      </c>
      <c r="AA42" s="308">
        <f>IF(AND(AA$22=TRUE,INDEX(CDRANGE_CLS1,MATCH($A42,$A$24:$A$67,0),MATCH(AA$20,$B$20:$G$20,0))&lt;$D$6/OPDAYS_Cls1),86,payback(E42,V42,disc_rate/12,85))</f>
        <v>86</v>
      </c>
      <c r="AB42" s="308">
        <f ca="1">IF(AND(AB$22=TRUE,INDEX(CDRANGE_CLS1,MATCH($A42,$A$24:$A$67,0),MATCH(AB$20,$B$20:$G$20,0))&lt;$D$6/OPDAYS_Cls1),86,payback(F42,W42,disc_rate/12,85))</f>
        <v>86</v>
      </c>
      <c r="AC42" s="593">
        <f ca="1">IF(AND(AC$22=TRUE,INDEX(CDRANGE_CLS1,MATCH($A42,$A$24:$A$67,0),MATCH(AC$20,$B$20:$G$20,0))&lt;$D$6/OPDAYS_Cls1),86,payback(G42,X42,disc_rate/12,85))</f>
        <v>86</v>
      </c>
      <c r="AD42" s="310">
        <f t="shared" si="35"/>
        <v>0</v>
      </c>
      <c r="AE42" s="311">
        <f t="shared" si="36"/>
        <v>0</v>
      </c>
      <c r="AF42" s="311">
        <f t="shared" si="37"/>
        <v>0</v>
      </c>
      <c r="AG42" s="311">
        <f t="shared" si="38"/>
        <v>0</v>
      </c>
      <c r="AH42" s="312">
        <f t="shared" si="39"/>
        <v>0</v>
      </c>
      <c r="AI42" s="1146">
        <f t="shared" si="40"/>
        <v>0</v>
      </c>
      <c r="AJ42" s="1147">
        <f t="shared" si="41"/>
        <v>0</v>
      </c>
      <c r="AK42" s="1147">
        <f t="shared" si="42"/>
        <v>0</v>
      </c>
      <c r="AL42" s="1147">
        <f t="shared" si="43"/>
        <v>0</v>
      </c>
      <c r="AM42" s="1153">
        <f t="shared" si="44"/>
        <v>0</v>
      </c>
      <c r="AN42" s="313">
        <f t="shared" si="66"/>
        <v>0.99978914760383808</v>
      </c>
      <c r="AO42" s="314">
        <f t="shared" si="67"/>
        <v>0.99027767361236296</v>
      </c>
      <c r="AP42" s="314">
        <f t="shared" si="68"/>
        <v>2.1094237467877974E-15</v>
      </c>
      <c r="AQ42" s="314">
        <f t="shared" si="69"/>
        <v>0.11042833637250005</v>
      </c>
      <c r="AR42" s="599">
        <f t="shared" si="70"/>
        <v>0</v>
      </c>
      <c r="AS42" s="310">
        <f t="shared" ca="1" si="46"/>
        <v>0</v>
      </c>
      <c r="AT42" s="311">
        <f t="shared" ca="1" si="47"/>
        <v>0</v>
      </c>
      <c r="AU42" s="311">
        <f t="shared" si="48"/>
        <v>0</v>
      </c>
      <c r="AV42" s="311">
        <f t="shared" ca="1" si="49"/>
        <v>0</v>
      </c>
      <c r="AW42" s="312">
        <f t="shared" ca="1" si="50"/>
        <v>0</v>
      </c>
      <c r="AX42" s="310">
        <f t="shared" ca="1" si="51"/>
        <v>0</v>
      </c>
      <c r="AY42" s="311">
        <f t="shared" ca="1" si="52"/>
        <v>0</v>
      </c>
      <c r="AZ42" s="311">
        <f t="shared" si="53"/>
        <v>0</v>
      </c>
      <c r="BA42" s="311">
        <f t="shared" ca="1" si="71"/>
        <v>0</v>
      </c>
      <c r="BB42" s="312">
        <f t="shared" ca="1" si="72"/>
        <v>0</v>
      </c>
      <c r="BC42" s="310">
        <f t="shared" ca="1" si="73"/>
        <v>1</v>
      </c>
      <c r="BD42" s="311">
        <f t="shared" ca="1" si="56"/>
        <v>0</v>
      </c>
      <c r="BE42" s="311">
        <f t="shared" ca="1" si="57"/>
        <v>0</v>
      </c>
      <c r="BF42" s="311">
        <f t="shared" ca="1" si="58"/>
        <v>0</v>
      </c>
      <c r="BG42" s="311">
        <f t="shared" ca="1" si="59"/>
        <v>0</v>
      </c>
      <c r="BH42" s="312">
        <f t="shared" ca="1" si="60"/>
        <v>0</v>
      </c>
      <c r="BJ42" s="540"/>
    </row>
    <row r="43" spans="1:62" x14ac:dyDescent="0.2">
      <c r="A43" s="316">
        <v>2026</v>
      </c>
      <c r="B43" s="826">
        <f t="shared" si="74"/>
        <v>159370.45000000001</v>
      </c>
      <c r="C43" s="827">
        <f t="shared" si="74"/>
        <v>1650.87</v>
      </c>
      <c r="D43" s="827">
        <f t="shared" si="74"/>
        <v>9251.43</v>
      </c>
      <c r="E43" s="827">
        <f t="shared" si="74"/>
        <v>509059.18</v>
      </c>
      <c r="F43" s="827">
        <f t="shared" si="74"/>
        <v>126559.32</v>
      </c>
      <c r="G43" s="828">
        <f t="shared" si="74"/>
        <v>1000000</v>
      </c>
      <c r="H43" s="781">
        <f t="shared" si="75"/>
        <v>1</v>
      </c>
      <c r="I43" s="782">
        <f t="shared" si="75"/>
        <v>1</v>
      </c>
      <c r="J43" s="782">
        <f t="shared" si="75"/>
        <v>1</v>
      </c>
      <c r="K43" s="782">
        <f t="shared" si="75"/>
        <v>1</v>
      </c>
      <c r="L43" s="782">
        <f t="shared" si="75"/>
        <v>1</v>
      </c>
      <c r="M43" s="783">
        <f t="shared" si="75"/>
        <v>1</v>
      </c>
      <c r="N43" s="275">
        <f t="shared" si="28"/>
        <v>8114.424829526849</v>
      </c>
      <c r="O43" s="276">
        <f t="shared" si="29"/>
        <v>7956.4740572111878</v>
      </c>
      <c r="P43" s="276">
        <f t="shared" si="30"/>
        <v>7422.1652119126111</v>
      </c>
      <c r="Q43" s="276">
        <f t="shared" si="31"/>
        <v>12973.457244460948</v>
      </c>
      <c r="R43" s="276">
        <f t="shared" si="32"/>
        <v>13687.639051903427</v>
      </c>
      <c r="S43" s="278">
        <f t="shared" si="33"/>
        <v>59190.14940280679</v>
      </c>
      <c r="T43" s="733">
        <f t="shared" si="61"/>
        <v>157.9507723156612</v>
      </c>
      <c r="U43" s="276">
        <f t="shared" si="62"/>
        <v>692.25961761423787</v>
      </c>
      <c r="V43" s="276">
        <f t="shared" si="63"/>
        <v>-4859.0324149340986</v>
      </c>
      <c r="W43" s="276">
        <f t="shared" si="64"/>
        <v>-5573.2142223765777</v>
      </c>
      <c r="X43" s="277">
        <f t="shared" si="65"/>
        <v>-51075.724573279942</v>
      </c>
      <c r="Y43" s="279">
        <f ca="1">IF(AND(Y$22=TRUE,INDEX(CDRANGE_CLS1,MATCH($A43,$A$24:$A$67,0),MATCH(Y$20,$B$20:$G$20,0))&lt;$D$6/OPDAYS_Cls1),86,payback(C43,T43,disc_rate/12,85))</f>
        <v>11</v>
      </c>
      <c r="Z43" s="280">
        <f ca="1">IF(AND(Z$22=TRUE,INDEX(CDRANGE_CLS1,MATCH($A43,$A$24:$A$67,0),MATCH(Z$20,$B$20:$G$20,0))&lt;$D$6/OPDAYS_Cls1),86,payback(D43,U43,disc_rate/12,85))</f>
        <v>14</v>
      </c>
      <c r="AA43" s="280">
        <f>IF(AND(AA$22=TRUE,INDEX(CDRANGE_CLS1,MATCH($A43,$A$24:$A$67,0),MATCH(AA$20,$B$20:$G$20,0))&lt;$D$6/OPDAYS_Cls1),86,payback(E43,V43,disc_rate/12,85))</f>
        <v>86</v>
      </c>
      <c r="AB43" s="280">
        <f ca="1">IF(AND(AB$22=TRUE,INDEX(CDRANGE_CLS1,MATCH($A43,$A$24:$A$67,0),MATCH(AB$20,$B$20:$G$20,0))&lt;$D$6/OPDAYS_Cls1),86,payback(F43,W43,disc_rate/12,85))</f>
        <v>86</v>
      </c>
      <c r="AC43" s="610">
        <f ca="1">IF(AND(AC$22=TRUE,INDEX(CDRANGE_CLS1,MATCH($A43,$A$24:$A$67,0),MATCH(AC$20,$B$20:$G$20,0))&lt;$D$6/OPDAYS_Cls1),86,payback(G43,X43,disc_rate/12,85))</f>
        <v>86</v>
      </c>
      <c r="AD43" s="282">
        <f t="shared" si="35"/>
        <v>0</v>
      </c>
      <c r="AE43" s="283">
        <f t="shared" si="36"/>
        <v>0</v>
      </c>
      <c r="AF43" s="283">
        <f t="shared" si="37"/>
        <v>0</v>
      </c>
      <c r="AG43" s="283">
        <f t="shared" si="38"/>
        <v>0</v>
      </c>
      <c r="AH43" s="284">
        <f t="shared" si="39"/>
        <v>0</v>
      </c>
      <c r="AI43" s="1140">
        <f t="shared" si="40"/>
        <v>2.3712936588783391E-2</v>
      </c>
      <c r="AJ43" s="1141">
        <f t="shared" si="41"/>
        <v>2.3712936588783391E-2</v>
      </c>
      <c r="AK43" s="1141">
        <f t="shared" si="42"/>
        <v>2.3712936588783391E-2</v>
      </c>
      <c r="AL43" s="1141">
        <f t="shared" si="43"/>
        <v>2.3712936588783391E-2</v>
      </c>
      <c r="AM43" s="1154">
        <f t="shared" si="44"/>
        <v>0</v>
      </c>
      <c r="AN43" s="285">
        <f t="shared" si="66"/>
        <v>0.9997019817017242</v>
      </c>
      <c r="AO43" s="286">
        <f t="shared" si="67"/>
        <v>0.99068316055031935</v>
      </c>
      <c r="AP43" s="286">
        <f t="shared" si="68"/>
        <v>4.914957330015568E-13</v>
      </c>
      <c r="AQ43" s="286">
        <f t="shared" si="69"/>
        <v>0.1734714759527326</v>
      </c>
      <c r="AR43" s="611">
        <f t="shared" si="70"/>
        <v>0</v>
      </c>
      <c r="AS43" s="282">
        <f t="shared" ca="1" si="46"/>
        <v>4.4690938134007409E-2</v>
      </c>
      <c r="AT43" s="283">
        <f t="shared" ca="1" si="47"/>
        <v>4.1295493531863924E-2</v>
      </c>
      <c r="AU43" s="283">
        <f t="shared" si="48"/>
        <v>0</v>
      </c>
      <c r="AV43" s="283">
        <f t="shared" ca="1" si="49"/>
        <v>0</v>
      </c>
      <c r="AW43" s="284">
        <f t="shared" ca="1" si="50"/>
        <v>0</v>
      </c>
      <c r="AX43" s="282">
        <f t="shared" ca="1" si="51"/>
        <v>4.4677619416676362E-2</v>
      </c>
      <c r="AY43" s="283">
        <f t="shared" ca="1" si="52"/>
        <v>4.0910750048632219E-2</v>
      </c>
      <c r="AZ43" s="283">
        <f t="shared" si="53"/>
        <v>0</v>
      </c>
      <c r="BA43" s="283">
        <f t="shared" ca="1" si="71"/>
        <v>0</v>
      </c>
      <c r="BB43" s="284">
        <f t="shared" ca="1" si="72"/>
        <v>0</v>
      </c>
      <c r="BC43" s="282">
        <f t="shared" ca="1" si="73"/>
        <v>0.95532238058332364</v>
      </c>
      <c r="BD43" s="283">
        <f t="shared" ca="1" si="56"/>
        <v>2.3321973408436631E-2</v>
      </c>
      <c r="BE43" s="283">
        <f t="shared" ca="1" si="57"/>
        <v>2.1355646008239727E-2</v>
      </c>
      <c r="BF43" s="283">
        <f t="shared" ca="1" si="58"/>
        <v>0</v>
      </c>
      <c r="BG43" s="283">
        <f t="shared" ca="1" si="59"/>
        <v>0</v>
      </c>
      <c r="BH43" s="284">
        <f t="shared" ca="1" si="60"/>
        <v>0</v>
      </c>
    </row>
    <row r="44" spans="1:62" x14ac:dyDescent="0.2">
      <c r="A44" s="317">
        <v>2027</v>
      </c>
      <c r="B44" s="820">
        <f t="shared" ref="B44:G53" si="76">ROUND(INDEX(COST_Cls1,$A44-($A$24-1),MATCH(B$20,TECHOPTS_Cls1,0)),2)</f>
        <v>161438.65</v>
      </c>
      <c r="C44" s="821">
        <f t="shared" si="76"/>
        <v>2005.33</v>
      </c>
      <c r="D44" s="821">
        <f t="shared" si="76"/>
        <v>9155.33</v>
      </c>
      <c r="E44" s="821">
        <f t="shared" si="76"/>
        <v>459332.33</v>
      </c>
      <c r="F44" s="821">
        <f t="shared" si="76"/>
        <v>109479.33</v>
      </c>
      <c r="G44" s="822">
        <f t="shared" si="76"/>
        <v>1000000</v>
      </c>
      <c r="H44" s="781">
        <f t="shared" ref="H44:M53" si="77">IF(H$21="Single-fuel",1,1-MIN(INDEX(CDRANGE_CLS1,$A44-($A$24-1),MATCH(H$20,TECHOPTS_Cls1,0))*OPDAYS_Cls1/$D$6,1))</f>
        <v>1</v>
      </c>
      <c r="I44" s="782">
        <f t="shared" si="77"/>
        <v>1</v>
      </c>
      <c r="J44" s="782">
        <f t="shared" si="77"/>
        <v>1</v>
      </c>
      <c r="K44" s="782">
        <f t="shared" si="77"/>
        <v>1</v>
      </c>
      <c r="L44" s="782">
        <f t="shared" si="77"/>
        <v>1</v>
      </c>
      <c r="M44" s="783">
        <f t="shared" si="77"/>
        <v>1</v>
      </c>
      <c r="N44" s="275">
        <f t="shared" si="28"/>
        <v>7907.8829076733591</v>
      </c>
      <c r="O44" s="276">
        <f t="shared" si="29"/>
        <v>7765.8429081048525</v>
      </c>
      <c r="P44" s="276">
        <f t="shared" si="30"/>
        <v>7236.4034454413286</v>
      </c>
      <c r="Q44" s="276">
        <f t="shared" si="31"/>
        <v>12837.688991539009</v>
      </c>
      <c r="R44" s="276">
        <f t="shared" si="32"/>
        <v>13141.933272982218</v>
      </c>
      <c r="S44" s="278">
        <f t="shared" si="33"/>
        <v>59338.981322474989</v>
      </c>
      <c r="T44" s="734">
        <f t="shared" si="61"/>
        <v>142.03999956850657</v>
      </c>
      <c r="U44" s="290">
        <f t="shared" si="62"/>
        <v>671.47946223203053</v>
      </c>
      <c r="V44" s="290">
        <f t="shared" si="63"/>
        <v>-4929.8060838656502</v>
      </c>
      <c r="W44" s="290">
        <f t="shared" si="64"/>
        <v>-5234.050365308859</v>
      </c>
      <c r="X44" s="291">
        <f t="shared" si="65"/>
        <v>-51431.098414801629</v>
      </c>
      <c r="Y44" s="293">
        <f ca="1">IF(AND(Y$22=TRUE,INDEX(CDRANGE_CLS1,MATCH($A44,$A$24:$A$67,0),MATCH(Y$20,$B$20:$G$20,0))&lt;$D$6/OPDAYS_Cls1),86,payback(C44,T44,disc_rate/12,85))</f>
        <v>15</v>
      </c>
      <c r="Z44" s="294">
        <f ca="1">IF(AND(Z$22=TRUE,INDEX(CDRANGE_CLS1,MATCH($A44,$A$24:$A$67,0),MATCH(Z$20,$B$20:$G$20,0))&lt;$D$6/OPDAYS_Cls1),86,payback(D44,U44,disc_rate/12,85))</f>
        <v>15</v>
      </c>
      <c r="AA44" s="294">
        <f>IF(AND(AA$22=TRUE,INDEX(CDRANGE_CLS1,MATCH($A44,$A$24:$A$67,0),MATCH(AA$20,$B$20:$G$20,0))&lt;$D$6/OPDAYS_Cls1),86,payback(E44,V44,disc_rate/12,85))</f>
        <v>86</v>
      </c>
      <c r="AB44" s="294">
        <f ca="1">IF(AND(AB$22=TRUE,INDEX(CDRANGE_CLS1,MATCH($A44,$A$24:$A$67,0),MATCH(AB$20,$B$20:$G$20,0))&lt;$D$6/OPDAYS_Cls1),86,payback(F44,W44,disc_rate/12,85))</f>
        <v>86</v>
      </c>
      <c r="AC44" s="592">
        <f ca="1">IF(AND(AC$22=TRUE,INDEX(CDRANGE_CLS1,MATCH($A44,$A$24:$A$67,0),MATCH(AC$20,$B$20:$G$20,0))&lt;$D$6/OPDAYS_Cls1),86,payback(G44,X44,disc_rate/12,85))</f>
        <v>86</v>
      </c>
      <c r="AD44" s="296">
        <f t="shared" si="35"/>
        <v>0</v>
      </c>
      <c r="AE44" s="297">
        <f t="shared" si="36"/>
        <v>0</v>
      </c>
      <c r="AF44" s="297">
        <f t="shared" si="37"/>
        <v>0</v>
      </c>
      <c r="AG44" s="297">
        <f t="shared" si="38"/>
        <v>0</v>
      </c>
      <c r="AH44" s="298">
        <f t="shared" si="39"/>
        <v>0</v>
      </c>
      <c r="AI44" s="1143">
        <f t="shared" si="40"/>
        <v>5.9601461011058773E-2</v>
      </c>
      <c r="AJ44" s="1144">
        <f t="shared" si="41"/>
        <v>5.9601461011058773E-2</v>
      </c>
      <c r="AK44" s="1144">
        <f t="shared" si="42"/>
        <v>5.9601461011058773E-2</v>
      </c>
      <c r="AL44" s="1144">
        <f t="shared" si="43"/>
        <v>5.9601461011058773E-2</v>
      </c>
      <c r="AM44" s="1152">
        <f t="shared" si="44"/>
        <v>0</v>
      </c>
      <c r="AN44" s="299">
        <f t="shared" si="66"/>
        <v>0.99957148986287592</v>
      </c>
      <c r="AO44" s="300">
        <f t="shared" si="67"/>
        <v>0.99110610515218467</v>
      </c>
      <c r="AP44" s="300">
        <f t="shared" si="68"/>
        <v>1.7135948215951657E-10</v>
      </c>
      <c r="AQ44" s="300">
        <f t="shared" si="69"/>
        <v>0.27874489140954828</v>
      </c>
      <c r="AR44" s="598">
        <f t="shared" si="70"/>
        <v>0</v>
      </c>
      <c r="AS44" s="296">
        <f t="shared" ca="1" si="46"/>
        <v>0.10045649987984681</v>
      </c>
      <c r="AT44" s="297">
        <f t="shared" ca="1" si="47"/>
        <v>0.10045649987984681</v>
      </c>
      <c r="AU44" s="297">
        <f t="shared" si="48"/>
        <v>0</v>
      </c>
      <c r="AV44" s="297">
        <f t="shared" ca="1" si="49"/>
        <v>0</v>
      </c>
      <c r="AW44" s="298">
        <f t="shared" ca="1" si="50"/>
        <v>0</v>
      </c>
      <c r="AX44" s="296">
        <f t="shared" ca="1" si="51"/>
        <v>0.10041345325130829</v>
      </c>
      <c r="AY44" s="297">
        <f t="shared" ca="1" si="52"/>
        <v>9.956305033313588E-2</v>
      </c>
      <c r="AZ44" s="297">
        <f t="shared" si="53"/>
        <v>0</v>
      </c>
      <c r="BA44" s="297">
        <f t="shared" ca="1" si="71"/>
        <v>0</v>
      </c>
      <c r="BB44" s="298">
        <f t="shared" ca="1" si="72"/>
        <v>0</v>
      </c>
      <c r="BC44" s="296">
        <f t="shared" ca="1" si="73"/>
        <v>0.89958654674869165</v>
      </c>
      <c r="BD44" s="297">
        <f t="shared" ca="1" si="56"/>
        <v>5.0420231442815384E-2</v>
      </c>
      <c r="BE44" s="297">
        <f t="shared" ca="1" si="57"/>
        <v>4.9993221808492909E-2</v>
      </c>
      <c r="BF44" s="297">
        <f t="shared" ca="1" si="58"/>
        <v>0</v>
      </c>
      <c r="BG44" s="297">
        <f t="shared" ca="1" si="59"/>
        <v>0</v>
      </c>
      <c r="BH44" s="298">
        <f t="shared" ca="1" si="60"/>
        <v>0</v>
      </c>
    </row>
    <row r="45" spans="1:62" x14ac:dyDescent="0.2">
      <c r="A45" s="317">
        <v>2028</v>
      </c>
      <c r="B45" s="820">
        <f t="shared" si="76"/>
        <v>161925.62</v>
      </c>
      <c r="C45" s="821">
        <f t="shared" si="76"/>
        <v>2201.1999999999998</v>
      </c>
      <c r="D45" s="821">
        <f t="shared" si="76"/>
        <v>9165.98</v>
      </c>
      <c r="E45" s="821">
        <f t="shared" si="76"/>
        <v>407688.74</v>
      </c>
      <c r="F45" s="821">
        <f t="shared" si="76"/>
        <v>104645.13</v>
      </c>
      <c r="G45" s="822">
        <f t="shared" si="76"/>
        <v>1000000</v>
      </c>
      <c r="H45" s="781">
        <f t="shared" si="77"/>
        <v>1</v>
      </c>
      <c r="I45" s="782">
        <f t="shared" si="77"/>
        <v>1</v>
      </c>
      <c r="J45" s="782">
        <f t="shared" si="77"/>
        <v>1</v>
      </c>
      <c r="K45" s="782">
        <f t="shared" si="77"/>
        <v>1</v>
      </c>
      <c r="L45" s="782">
        <f t="shared" si="77"/>
        <v>1</v>
      </c>
      <c r="M45" s="783">
        <f t="shared" si="77"/>
        <v>1</v>
      </c>
      <c r="N45" s="275">
        <f t="shared" si="28"/>
        <v>7908.8659910522902</v>
      </c>
      <c r="O45" s="276">
        <f t="shared" si="29"/>
        <v>7596.3226066254047</v>
      </c>
      <c r="P45" s="276">
        <f t="shared" si="30"/>
        <v>7070.1476195046034</v>
      </c>
      <c r="Q45" s="276">
        <f t="shared" si="31"/>
        <v>12476.860001910218</v>
      </c>
      <c r="R45" s="276">
        <f t="shared" si="32"/>
        <v>12626.322247111206</v>
      </c>
      <c r="S45" s="278">
        <f t="shared" si="33"/>
        <v>60249.100138335249</v>
      </c>
      <c r="T45" s="734">
        <f t="shared" si="61"/>
        <v>312.5433844268855</v>
      </c>
      <c r="U45" s="290">
        <f t="shared" si="62"/>
        <v>838.71837154768673</v>
      </c>
      <c r="V45" s="290">
        <f t="shared" si="63"/>
        <v>-4567.9940108579276</v>
      </c>
      <c r="W45" s="290">
        <f t="shared" si="64"/>
        <v>-4717.4562560589156</v>
      </c>
      <c r="X45" s="291">
        <f t="shared" si="65"/>
        <v>-52340.234147282958</v>
      </c>
      <c r="Y45" s="293">
        <f ca="1">IF(AND(Y$22=TRUE,INDEX(CDRANGE_CLS1,MATCH($A45,$A$24:$A$67,0),MATCH(Y$20,$B$20:$G$20,0))&lt;$D$6/OPDAYS_Cls1),86,payback(C45,T45,disc_rate/12,85))</f>
        <v>8</v>
      </c>
      <c r="Z45" s="294">
        <f ca="1">IF(AND(Z$22=TRUE,INDEX(CDRANGE_CLS1,MATCH($A45,$A$24:$A$67,0),MATCH(Z$20,$B$20:$G$20,0))&lt;$D$6/OPDAYS_Cls1),86,payback(D45,U45,disc_rate/12,85))</f>
        <v>12</v>
      </c>
      <c r="AA45" s="294">
        <f>IF(AND(AA$22=TRUE,INDEX(CDRANGE_CLS1,MATCH($A45,$A$24:$A$67,0),MATCH(AA$20,$B$20:$G$20,0))&lt;$D$6/OPDAYS_Cls1),86,payback(E45,V45,disc_rate/12,85))</f>
        <v>86</v>
      </c>
      <c r="AB45" s="294">
        <f ca="1">IF(AND(AB$22=TRUE,INDEX(CDRANGE_CLS1,MATCH($A45,$A$24:$A$67,0),MATCH(AB$20,$B$20:$G$20,0))&lt;$D$6/OPDAYS_Cls1),86,payback(F45,W45,disc_rate/12,85))</f>
        <v>86</v>
      </c>
      <c r="AC45" s="592">
        <f ca="1">IF(AND(AC$22=TRUE,INDEX(CDRANGE_CLS1,MATCH($A45,$A$24:$A$67,0),MATCH(AC$20,$B$20:$G$20,0))&lt;$D$6/OPDAYS_Cls1),86,payback(G45,X45,disc_rate/12,85))</f>
        <v>86</v>
      </c>
      <c r="AD45" s="296">
        <f t="shared" si="35"/>
        <v>0</v>
      </c>
      <c r="AE45" s="297">
        <f t="shared" si="36"/>
        <v>0</v>
      </c>
      <c r="AF45" s="297">
        <f t="shared" si="37"/>
        <v>0</v>
      </c>
      <c r="AG45" s="297">
        <f t="shared" si="38"/>
        <v>0</v>
      </c>
      <c r="AH45" s="298">
        <f t="shared" si="39"/>
        <v>0</v>
      </c>
      <c r="AI45" s="1143">
        <f t="shared" si="40"/>
        <v>0.13447071068499755</v>
      </c>
      <c r="AJ45" s="1144">
        <f t="shared" si="41"/>
        <v>0.13447071068499755</v>
      </c>
      <c r="AK45" s="1144">
        <f t="shared" si="42"/>
        <v>0.13447071068499755</v>
      </c>
      <c r="AL45" s="1144">
        <f t="shared" si="43"/>
        <v>0.13447071068499755</v>
      </c>
      <c r="AM45" s="1152">
        <f t="shared" si="44"/>
        <v>0</v>
      </c>
      <c r="AN45" s="299">
        <f t="shared" si="66"/>
        <v>0.9994868150520303</v>
      </c>
      <c r="AO45" s="300">
        <f t="shared" si="67"/>
        <v>0.99113879377986047</v>
      </c>
      <c r="AP45" s="300">
        <f t="shared" si="68"/>
        <v>2.2526844722925432E-8</v>
      </c>
      <c r="AQ45" s="300">
        <f t="shared" si="69"/>
        <v>0.31344731571217055</v>
      </c>
      <c r="AR45" s="598">
        <f t="shared" si="70"/>
        <v>0</v>
      </c>
      <c r="AS45" s="296">
        <f t="shared" ca="1" si="46"/>
        <v>0.26588892548350462</v>
      </c>
      <c r="AT45" s="297">
        <f t="shared" ca="1" si="47"/>
        <v>0.24765195347247992</v>
      </c>
      <c r="AU45" s="297">
        <f t="shared" si="48"/>
        <v>0</v>
      </c>
      <c r="AV45" s="297">
        <f t="shared" ca="1" si="49"/>
        <v>0</v>
      </c>
      <c r="AW45" s="298">
        <f t="shared" ca="1" si="50"/>
        <v>0</v>
      </c>
      <c r="AX45" s="296">
        <f t="shared" ca="1" si="51"/>
        <v>0.26575247528911466</v>
      </c>
      <c r="AY45" s="297">
        <f t="shared" ca="1" si="52"/>
        <v>0.24545745844193989</v>
      </c>
      <c r="AZ45" s="297">
        <f t="shared" si="53"/>
        <v>0</v>
      </c>
      <c r="BA45" s="297">
        <f t="shared" ca="1" si="71"/>
        <v>0</v>
      </c>
      <c r="BB45" s="298">
        <f t="shared" ca="1" si="72"/>
        <v>0</v>
      </c>
      <c r="BC45" s="296">
        <f t="shared" ca="1" si="73"/>
        <v>0.73424752471088528</v>
      </c>
      <c r="BD45" s="297">
        <f t="shared" ca="1" si="56"/>
        <v>0.13815141972465406</v>
      </c>
      <c r="BE45" s="297">
        <f t="shared" ca="1" si="57"/>
        <v>0.12760105556446061</v>
      </c>
      <c r="BF45" s="297">
        <f t="shared" ca="1" si="58"/>
        <v>0</v>
      </c>
      <c r="BG45" s="297">
        <f t="shared" ca="1" si="59"/>
        <v>0</v>
      </c>
      <c r="BH45" s="298">
        <f t="shared" ca="1" si="60"/>
        <v>0</v>
      </c>
    </row>
    <row r="46" spans="1:62" x14ac:dyDescent="0.2">
      <c r="A46" s="317">
        <v>2029</v>
      </c>
      <c r="B46" s="820">
        <f t="shared" si="76"/>
        <v>162512.85</v>
      </c>
      <c r="C46" s="821">
        <f t="shared" si="76"/>
        <v>2349.65</v>
      </c>
      <c r="D46" s="821">
        <f t="shared" si="76"/>
        <v>9174.06</v>
      </c>
      <c r="E46" s="821">
        <f t="shared" si="76"/>
        <v>368547.55</v>
      </c>
      <c r="F46" s="821">
        <f t="shared" si="76"/>
        <v>100981.23</v>
      </c>
      <c r="G46" s="822">
        <f t="shared" si="76"/>
        <v>1000000</v>
      </c>
      <c r="H46" s="781">
        <f t="shared" si="77"/>
        <v>1</v>
      </c>
      <c r="I46" s="782">
        <f t="shared" si="77"/>
        <v>1</v>
      </c>
      <c r="J46" s="782">
        <f t="shared" si="77"/>
        <v>1</v>
      </c>
      <c r="K46" s="782">
        <f t="shared" si="77"/>
        <v>1</v>
      </c>
      <c r="L46" s="782">
        <f t="shared" si="77"/>
        <v>1</v>
      </c>
      <c r="M46" s="783">
        <f t="shared" si="77"/>
        <v>1</v>
      </c>
      <c r="N46" s="275">
        <f t="shared" si="28"/>
        <v>7840.985724712953</v>
      </c>
      <c r="O46" s="276">
        <f t="shared" si="29"/>
        <v>7460.2284752437299</v>
      </c>
      <c r="P46" s="276">
        <f t="shared" si="30"/>
        <v>6937.7059113313535</v>
      </c>
      <c r="Q46" s="276">
        <f t="shared" si="31"/>
        <v>12185.58985886622</v>
      </c>
      <c r="R46" s="276">
        <f t="shared" si="32"/>
        <v>12195.974173034783</v>
      </c>
      <c r="S46" s="278">
        <f t="shared" si="33"/>
        <v>60811.258243652665</v>
      </c>
      <c r="T46" s="734">
        <f t="shared" si="61"/>
        <v>380.7572494692231</v>
      </c>
      <c r="U46" s="290">
        <f t="shared" si="62"/>
        <v>903.27981338159952</v>
      </c>
      <c r="V46" s="290">
        <f t="shared" si="63"/>
        <v>-4344.6041341532673</v>
      </c>
      <c r="W46" s="290">
        <f t="shared" si="64"/>
        <v>-4354.9884483218302</v>
      </c>
      <c r="X46" s="291">
        <f t="shared" si="65"/>
        <v>-52970.27251893971</v>
      </c>
      <c r="Y46" s="293">
        <f ca="1">IF(AND(Y$22=TRUE,INDEX(CDRANGE_CLS1,MATCH($A46,$A$24:$A$67,0),MATCH(Y$20,$B$20:$G$20,0))&lt;$D$6/OPDAYS_Cls1),86,payback(C46,T46,disc_rate/12,85))</f>
        <v>7</v>
      </c>
      <c r="Z46" s="294">
        <f ca="1">IF(AND(Z$22=TRUE,INDEX(CDRANGE_CLS1,MATCH($A46,$A$24:$A$67,0),MATCH(Z$20,$B$20:$G$20,0))&lt;$D$6/OPDAYS_Cls1),86,payback(D46,U46,disc_rate/12,85))</f>
        <v>11</v>
      </c>
      <c r="AA46" s="294">
        <f>IF(AND(AA$22=TRUE,INDEX(CDRANGE_CLS1,MATCH($A46,$A$24:$A$67,0),MATCH(AA$20,$B$20:$G$20,0))&lt;$D$6/OPDAYS_Cls1),86,payback(E46,V46,disc_rate/12,85))</f>
        <v>86</v>
      </c>
      <c r="AB46" s="294">
        <f ca="1">IF(AND(AB$22=TRUE,INDEX(CDRANGE_CLS1,MATCH($A46,$A$24:$A$67,0),MATCH(AB$20,$B$20:$G$20,0))&lt;$D$6/OPDAYS_Cls1),86,payback(F46,W46,disc_rate/12,85))</f>
        <v>86</v>
      </c>
      <c r="AC46" s="592">
        <f ca="1">IF(AND(AC$22=TRUE,INDEX(CDRANGE_CLS1,MATCH($A46,$A$24:$A$67,0),MATCH(AC$20,$B$20:$G$20,0))&lt;$D$6/OPDAYS_Cls1),86,payback(G46,X46,disc_rate/12,85))</f>
        <v>86</v>
      </c>
      <c r="AD46" s="296">
        <f t="shared" si="35"/>
        <v>0</v>
      </c>
      <c r="AE46" s="297">
        <f t="shared" si="36"/>
        <v>0</v>
      </c>
      <c r="AF46" s="297">
        <f t="shared" si="37"/>
        <v>0</v>
      </c>
      <c r="AG46" s="297">
        <f t="shared" si="38"/>
        <v>0</v>
      </c>
      <c r="AH46" s="298">
        <f t="shared" si="39"/>
        <v>0</v>
      </c>
      <c r="AI46" s="1143">
        <f t="shared" si="40"/>
        <v>0.25</v>
      </c>
      <c r="AJ46" s="1144">
        <f t="shared" si="41"/>
        <v>0.25</v>
      </c>
      <c r="AK46" s="1144">
        <f t="shared" si="42"/>
        <v>0.25</v>
      </c>
      <c r="AL46" s="1144">
        <f t="shared" si="43"/>
        <v>0.25</v>
      </c>
      <c r="AM46" s="1152">
        <f t="shared" si="44"/>
        <v>0</v>
      </c>
      <c r="AN46" s="299">
        <f t="shared" si="66"/>
        <v>0.99941949982892742</v>
      </c>
      <c r="AO46" s="300">
        <f t="shared" si="67"/>
        <v>0.99118698616428447</v>
      </c>
      <c r="AP46" s="300">
        <f t="shared" si="68"/>
        <v>6.2472732398344277E-7</v>
      </c>
      <c r="AQ46" s="300">
        <f t="shared" si="69"/>
        <v>0.34214691484258264</v>
      </c>
      <c r="AR46" s="598">
        <f t="shared" si="70"/>
        <v>0</v>
      </c>
      <c r="AS46" s="296">
        <f t="shared" ca="1" si="46"/>
        <v>0.49836364270351485</v>
      </c>
      <c r="AT46" s="297">
        <f t="shared" ca="1" si="47"/>
        <v>0.47116621307825446</v>
      </c>
      <c r="AU46" s="297">
        <f t="shared" si="48"/>
        <v>0</v>
      </c>
      <c r="AV46" s="297">
        <f t="shared" ca="1" si="49"/>
        <v>0</v>
      </c>
      <c r="AW46" s="298">
        <f t="shared" ca="1" si="50"/>
        <v>0</v>
      </c>
      <c r="AX46" s="296">
        <f t="shared" ca="1" si="51"/>
        <v>0.49807434252366911</v>
      </c>
      <c r="AY46" s="297">
        <f t="shared" ca="1" si="52"/>
        <v>0.46701381872347408</v>
      </c>
      <c r="AZ46" s="297">
        <f t="shared" si="53"/>
        <v>0</v>
      </c>
      <c r="BA46" s="297">
        <f t="shared" ca="1" si="71"/>
        <v>0</v>
      </c>
      <c r="BB46" s="298">
        <f t="shared" ca="1" si="72"/>
        <v>0</v>
      </c>
      <c r="BC46" s="296">
        <f t="shared" ca="1" si="73"/>
        <v>0.50192565747633089</v>
      </c>
      <c r="BD46" s="297">
        <f t="shared" ca="1" si="56"/>
        <v>0.25705221620354801</v>
      </c>
      <c r="BE46" s="297">
        <f t="shared" ca="1" si="57"/>
        <v>0.2410221263201211</v>
      </c>
      <c r="BF46" s="297">
        <f t="shared" ca="1" si="58"/>
        <v>0</v>
      </c>
      <c r="BG46" s="297">
        <f t="shared" ca="1" si="59"/>
        <v>0</v>
      </c>
      <c r="BH46" s="298">
        <f t="shared" ca="1" si="60"/>
        <v>0</v>
      </c>
    </row>
    <row r="47" spans="1:62" ht="13.5" thickBot="1" x14ac:dyDescent="0.25">
      <c r="A47" s="618">
        <v>2030</v>
      </c>
      <c r="B47" s="814">
        <f t="shared" si="76"/>
        <v>162980.88</v>
      </c>
      <c r="C47" s="815">
        <f t="shared" si="76"/>
        <v>2518.77</v>
      </c>
      <c r="D47" s="815">
        <f t="shared" si="76"/>
        <v>9183.25</v>
      </c>
      <c r="E47" s="815">
        <f t="shared" si="76"/>
        <v>323956.67</v>
      </c>
      <c r="F47" s="815">
        <f t="shared" si="76"/>
        <v>96807.21</v>
      </c>
      <c r="G47" s="816">
        <f t="shared" si="76"/>
        <v>1000000</v>
      </c>
      <c r="H47" s="781">
        <f t="shared" si="77"/>
        <v>1</v>
      </c>
      <c r="I47" s="782">
        <f t="shared" si="77"/>
        <v>1</v>
      </c>
      <c r="J47" s="782">
        <f t="shared" si="77"/>
        <v>1</v>
      </c>
      <c r="K47" s="782">
        <f t="shared" si="77"/>
        <v>1</v>
      </c>
      <c r="L47" s="782">
        <f t="shared" si="77"/>
        <v>1</v>
      </c>
      <c r="M47" s="783">
        <f t="shared" si="77"/>
        <v>1</v>
      </c>
      <c r="N47" s="775">
        <f t="shared" si="28"/>
        <v>7892.8611050758473</v>
      </c>
      <c r="O47" s="776">
        <f t="shared" si="29"/>
        <v>7388.5896897471948</v>
      </c>
      <c r="P47" s="776">
        <f t="shared" si="30"/>
        <v>6864.9451737482159</v>
      </c>
      <c r="Q47" s="776">
        <f t="shared" si="31"/>
        <v>11866.786906497968</v>
      </c>
      <c r="R47" s="776">
        <f t="shared" si="32"/>
        <v>11753.180318519489</v>
      </c>
      <c r="S47" s="777">
        <f t="shared" si="33"/>
        <v>62079.470687577756</v>
      </c>
      <c r="T47" s="735">
        <f t="shared" si="61"/>
        <v>504.27141532865244</v>
      </c>
      <c r="U47" s="619">
        <f t="shared" si="62"/>
        <v>1027.9159313276314</v>
      </c>
      <c r="V47" s="619">
        <f t="shared" si="63"/>
        <v>-3973.9258014221205</v>
      </c>
      <c r="W47" s="619">
        <f t="shared" si="64"/>
        <v>-3860.3192134436422</v>
      </c>
      <c r="X47" s="620">
        <f t="shared" si="65"/>
        <v>-54186.609582501907</v>
      </c>
      <c r="Y47" s="621">
        <f ca="1">IF(AND(Y$22=TRUE,INDEX(CDRANGE_CLS1,MATCH($A47,$A$24:$A$67,0),MATCH(Y$20,$B$20:$G$20,0))&lt;$D$6/OPDAYS_Cls1),86,payback(C47,T47,disc_rate/12,85))</f>
        <v>6</v>
      </c>
      <c r="Z47" s="622">
        <f ca="1">IF(AND(Z$22=TRUE,INDEX(CDRANGE_CLS1,MATCH($A47,$A$24:$A$67,0),MATCH(Z$20,$B$20:$G$20,0))&lt;$D$6/OPDAYS_Cls1),86,payback(D47,U47,disc_rate/12,85))</f>
        <v>10</v>
      </c>
      <c r="AA47" s="622">
        <f>IF(AND(AA$22=TRUE,INDEX(CDRANGE_CLS1,MATCH($A47,$A$24:$A$67,0),MATCH(AA$20,$B$20:$G$20,0))&lt;$D$6/OPDAYS_Cls1),86,payback(E47,V47,disc_rate/12,85))</f>
        <v>86</v>
      </c>
      <c r="AB47" s="622">
        <f ca="1">IF(AND(AB$22=TRUE,INDEX(CDRANGE_CLS1,MATCH($A47,$A$24:$A$67,0),MATCH(AB$20,$B$20:$G$20,0))&lt;$D$6/OPDAYS_Cls1),86,payback(F47,W47,disc_rate/12,85))</f>
        <v>86</v>
      </c>
      <c r="AC47" s="623">
        <f ca="1">IF(AND(AC$22=TRUE,INDEX(CDRANGE_CLS1,MATCH($A47,$A$24:$A$67,0),MATCH(AC$20,$B$20:$G$20,0))&lt;$D$6/OPDAYS_Cls1),86,payback(G47,X47,disc_rate/12,85))</f>
        <v>86</v>
      </c>
      <c r="AD47" s="624">
        <f t="shared" si="35"/>
        <v>0</v>
      </c>
      <c r="AE47" s="625">
        <f t="shared" si="36"/>
        <v>0</v>
      </c>
      <c r="AF47" s="625">
        <f t="shared" si="37"/>
        <v>0</v>
      </c>
      <c r="AG47" s="625">
        <f t="shared" si="38"/>
        <v>0</v>
      </c>
      <c r="AH47" s="626">
        <f t="shared" si="39"/>
        <v>0</v>
      </c>
      <c r="AI47" s="1155">
        <f t="shared" si="40"/>
        <v>0.36552928931500245</v>
      </c>
      <c r="AJ47" s="1156">
        <f t="shared" si="41"/>
        <v>0.36552928931500245</v>
      </c>
      <c r="AK47" s="1156">
        <f t="shared" si="42"/>
        <v>0.36552928931500245</v>
      </c>
      <c r="AL47" s="1156">
        <f t="shared" si="43"/>
        <v>0.36552928931500245</v>
      </c>
      <c r="AM47" s="1157">
        <f t="shared" si="44"/>
        <v>0</v>
      </c>
      <c r="AN47" s="630">
        <f t="shared" si="66"/>
        <v>0.99933678070856746</v>
      </c>
      <c r="AO47" s="628">
        <f t="shared" si="67"/>
        <v>0.9912198205210101</v>
      </c>
      <c r="AP47" s="628">
        <f t="shared" si="68"/>
        <v>1.712731694958336E-5</v>
      </c>
      <c r="AQ47" s="628">
        <f t="shared" si="69"/>
        <v>0.37529965342830673</v>
      </c>
      <c r="AR47" s="629">
        <f t="shared" si="70"/>
        <v>0</v>
      </c>
      <c r="AS47" s="624">
        <f t="shared" ca="1" si="46"/>
        <v>0.7310585786300049</v>
      </c>
      <c r="AT47" s="625">
        <f t="shared" ca="1" si="47"/>
        <v>0.70256958544885761</v>
      </c>
      <c r="AU47" s="625">
        <f t="shared" si="48"/>
        <v>0</v>
      </c>
      <c r="AV47" s="625">
        <f t="shared" ca="1" si="49"/>
        <v>0</v>
      </c>
      <c r="AW47" s="626">
        <f t="shared" ca="1" si="50"/>
        <v>0</v>
      </c>
      <c r="AX47" s="624">
        <f t="shared" ca="1" si="51"/>
        <v>0.73057372647749019</v>
      </c>
      <c r="AY47" s="625">
        <f t="shared" ca="1" si="52"/>
        <v>0.69640089839213715</v>
      </c>
      <c r="AZ47" s="625">
        <f t="shared" si="53"/>
        <v>0</v>
      </c>
      <c r="BA47" s="625">
        <f t="shared" ca="1" si="71"/>
        <v>0</v>
      </c>
      <c r="BB47" s="626">
        <f t="shared" ca="1" si="72"/>
        <v>0</v>
      </c>
      <c r="BC47" s="624">
        <f t="shared" ca="1" si="73"/>
        <v>0.2694262735225097</v>
      </c>
      <c r="BD47" s="625">
        <f t="shared" ca="1" si="56"/>
        <v>0.37403466082515002</v>
      </c>
      <c r="BE47" s="625">
        <f t="shared" ca="1" si="57"/>
        <v>0.35653906565234023</v>
      </c>
      <c r="BF47" s="625">
        <f t="shared" ca="1" si="58"/>
        <v>0</v>
      </c>
      <c r="BG47" s="625">
        <f t="shared" ca="1" si="59"/>
        <v>0</v>
      </c>
      <c r="BH47" s="626">
        <f t="shared" ca="1" si="60"/>
        <v>0</v>
      </c>
    </row>
    <row r="48" spans="1:62" x14ac:dyDescent="0.2">
      <c r="A48" s="318">
        <v>2031</v>
      </c>
      <c r="B48" s="817">
        <f t="shared" si="76"/>
        <v>163384.94</v>
      </c>
      <c r="C48" s="818">
        <f t="shared" si="76"/>
        <v>2658.12</v>
      </c>
      <c r="D48" s="818">
        <f t="shared" si="76"/>
        <v>9190.83</v>
      </c>
      <c r="E48" s="818">
        <f t="shared" si="76"/>
        <v>287216.44</v>
      </c>
      <c r="F48" s="818">
        <f t="shared" si="76"/>
        <v>93368.07</v>
      </c>
      <c r="G48" s="819">
        <f t="shared" si="76"/>
        <v>1000000</v>
      </c>
      <c r="H48" s="781">
        <f t="shared" si="77"/>
        <v>1</v>
      </c>
      <c r="I48" s="782">
        <f t="shared" si="77"/>
        <v>1</v>
      </c>
      <c r="J48" s="782">
        <f t="shared" si="77"/>
        <v>1</v>
      </c>
      <c r="K48" s="782">
        <f t="shared" si="77"/>
        <v>1</v>
      </c>
      <c r="L48" s="782">
        <f t="shared" si="77"/>
        <v>1</v>
      </c>
      <c r="M48" s="783">
        <f t="shared" si="77"/>
        <v>1</v>
      </c>
      <c r="N48" s="631">
        <f t="shared" si="28"/>
        <v>7886.3745675059799</v>
      </c>
      <c r="O48" s="632">
        <f t="shared" si="29"/>
        <v>7292.1524481959432</v>
      </c>
      <c r="P48" s="632">
        <f t="shared" si="30"/>
        <v>6770.6226762061933</v>
      </c>
      <c r="Q48" s="632">
        <f t="shared" si="31"/>
        <v>11636.169378149869</v>
      </c>
      <c r="R48" s="632">
        <f t="shared" si="32"/>
        <v>11362.07644699921</v>
      </c>
      <c r="S48" s="745">
        <f t="shared" si="33"/>
        <v>62775.355854933419</v>
      </c>
      <c r="T48" s="736">
        <f t="shared" si="61"/>
        <v>594.22211931003676</v>
      </c>
      <c r="U48" s="632">
        <f t="shared" si="62"/>
        <v>1115.7518912997866</v>
      </c>
      <c r="V48" s="632">
        <f t="shared" si="63"/>
        <v>-3749.7948106438889</v>
      </c>
      <c r="W48" s="632">
        <f t="shared" si="64"/>
        <v>-3475.7018794932301</v>
      </c>
      <c r="X48" s="633">
        <f t="shared" si="65"/>
        <v>-54888.981287427436</v>
      </c>
      <c r="Y48" s="634">
        <f ca="1">IF(AND(Y$22=TRUE,INDEX(CDRANGE_CLS1,MATCH($A48,$A$24:$A$67,0),MATCH(Y$20,$B$20:$G$20,0))&lt;$D$6/OPDAYS_Cls1),86,payback(C48,T48,disc_rate/12,85))</f>
        <v>5</v>
      </c>
      <c r="Z48" s="635">
        <f ca="1">IF(AND(Z$22=TRUE,INDEX(CDRANGE_CLS1,MATCH($A48,$A$24:$A$67,0),MATCH(Z$20,$B$20:$G$20,0))&lt;$D$6/OPDAYS_Cls1),86,payback(D48,U48,disc_rate/12,85))</f>
        <v>9</v>
      </c>
      <c r="AA48" s="635">
        <f>IF(AND(AA$22=TRUE,INDEX(CDRANGE_CLS1,MATCH($A48,$A$24:$A$67,0),MATCH(AA$20,$B$20:$G$20,0))&lt;$D$6/OPDAYS_Cls1),86,payback(E48,V48,disc_rate/12,85))</f>
        <v>86</v>
      </c>
      <c r="AB48" s="635">
        <f ca="1">IF(AND(AB$22=TRUE,INDEX(CDRANGE_CLS1,MATCH($A48,$A$24:$A$67,0),MATCH(AB$20,$B$20:$G$20,0))&lt;$D$6/OPDAYS_Cls1),86,payback(F48,W48,disc_rate/12,85))</f>
        <v>86</v>
      </c>
      <c r="AC48" s="636">
        <f ca="1">IF(AND(AC$22=TRUE,INDEX(CDRANGE_CLS1,MATCH($A48,$A$24:$A$67,0),MATCH(AC$20,$B$20:$G$20,0))&lt;$D$6/OPDAYS_Cls1),86,payback(G48,X48,disc_rate/12,85))</f>
        <v>86</v>
      </c>
      <c r="AD48" s="637">
        <f t="shared" si="35"/>
        <v>0</v>
      </c>
      <c r="AE48" s="638">
        <f t="shared" si="36"/>
        <v>0</v>
      </c>
      <c r="AF48" s="638">
        <f t="shared" si="37"/>
        <v>0</v>
      </c>
      <c r="AG48" s="638">
        <f t="shared" si="38"/>
        <v>0</v>
      </c>
      <c r="AH48" s="639">
        <f t="shared" si="39"/>
        <v>0</v>
      </c>
      <c r="AI48" s="1149">
        <f t="shared" si="40"/>
        <v>0.44039853898894116</v>
      </c>
      <c r="AJ48" s="1150">
        <f t="shared" si="41"/>
        <v>0.44039853898894116</v>
      </c>
      <c r="AK48" s="1150">
        <f t="shared" si="42"/>
        <v>0.44039853898894116</v>
      </c>
      <c r="AL48" s="1150">
        <f t="shared" si="43"/>
        <v>0.44039853898894116</v>
      </c>
      <c r="AM48" s="1151">
        <f t="shared" si="44"/>
        <v>0</v>
      </c>
      <c r="AN48" s="643">
        <f t="shared" si="66"/>
        <v>0.99926504123022597</v>
      </c>
      <c r="AO48" s="641">
        <f t="shared" si="67"/>
        <v>0.99124863858723111</v>
      </c>
      <c r="AP48" s="641">
        <f t="shared" si="68"/>
        <v>1.8706654757449925E-4</v>
      </c>
      <c r="AQ48" s="641">
        <f t="shared" si="69"/>
        <v>0.40368054888224236</v>
      </c>
      <c r="AR48" s="642">
        <f t="shared" si="70"/>
        <v>0</v>
      </c>
      <c r="AS48" s="637">
        <f t="shared" ca="1" si="46"/>
        <v>0.88079707797788231</v>
      </c>
      <c r="AT48" s="638">
        <f t="shared" ca="1" si="47"/>
        <v>0.86018217360447413</v>
      </c>
      <c r="AU48" s="638">
        <f t="shared" si="48"/>
        <v>0</v>
      </c>
      <c r="AV48" s="638">
        <f t="shared" ca="1" si="49"/>
        <v>0</v>
      </c>
      <c r="AW48" s="639">
        <f t="shared" ca="1" si="50"/>
        <v>0</v>
      </c>
      <c r="AX48" s="637">
        <f t="shared" ca="1" si="51"/>
        <v>0.88014972844103112</v>
      </c>
      <c r="AY48" s="638">
        <f t="shared" ca="1" si="52"/>
        <v>0.85265440852244023</v>
      </c>
      <c r="AZ48" s="638">
        <f t="shared" si="53"/>
        <v>0</v>
      </c>
      <c r="BA48" s="638">
        <f t="shared" ca="1" si="71"/>
        <v>0</v>
      </c>
      <c r="BB48" s="639">
        <f t="shared" ca="1" si="72"/>
        <v>0</v>
      </c>
      <c r="BC48" s="637">
        <f t="shared" ca="1" si="73"/>
        <v>0.11985027155896888</v>
      </c>
      <c r="BD48" s="638">
        <f t="shared" ca="1" si="56"/>
        <v>0.4470577648968016</v>
      </c>
      <c r="BE48" s="638">
        <f t="shared" ca="1" si="57"/>
        <v>0.43309196354422946</v>
      </c>
      <c r="BF48" s="638">
        <f t="shared" ca="1" si="58"/>
        <v>0</v>
      </c>
      <c r="BG48" s="638">
        <f t="shared" ca="1" si="59"/>
        <v>0</v>
      </c>
      <c r="BH48" s="639">
        <f t="shared" ca="1" si="60"/>
        <v>0</v>
      </c>
    </row>
    <row r="49" spans="1:60" x14ac:dyDescent="0.2">
      <c r="A49" s="317">
        <v>2032</v>
      </c>
      <c r="B49" s="820">
        <f t="shared" si="76"/>
        <v>163647.29</v>
      </c>
      <c r="C49" s="821">
        <f t="shared" si="76"/>
        <v>2745.41</v>
      </c>
      <c r="D49" s="821">
        <f t="shared" si="76"/>
        <v>9195.58</v>
      </c>
      <c r="E49" s="821">
        <f t="shared" si="76"/>
        <v>264201.19</v>
      </c>
      <c r="F49" s="821">
        <f t="shared" si="76"/>
        <v>91213.68</v>
      </c>
      <c r="G49" s="822">
        <f t="shared" si="76"/>
        <v>1000000</v>
      </c>
      <c r="H49" s="781">
        <f t="shared" si="77"/>
        <v>1</v>
      </c>
      <c r="I49" s="782">
        <f t="shared" si="77"/>
        <v>1</v>
      </c>
      <c r="J49" s="782">
        <f t="shared" si="77"/>
        <v>1</v>
      </c>
      <c r="K49" s="782">
        <f t="shared" si="77"/>
        <v>1</v>
      </c>
      <c r="L49" s="782">
        <f t="shared" si="77"/>
        <v>1</v>
      </c>
      <c r="M49" s="783">
        <f t="shared" si="77"/>
        <v>1</v>
      </c>
      <c r="N49" s="275">
        <f t="shared" si="28"/>
        <v>7882.6814559130607</v>
      </c>
      <c r="O49" s="276">
        <f t="shared" si="29"/>
        <v>7236.2859990290926</v>
      </c>
      <c r="P49" s="276">
        <f t="shared" si="30"/>
        <v>6715.933623009365</v>
      </c>
      <c r="Q49" s="276">
        <f t="shared" si="31"/>
        <v>11500.763612755572</v>
      </c>
      <c r="R49" s="276">
        <f t="shared" si="32"/>
        <v>11042.561280909331</v>
      </c>
      <c r="S49" s="278">
        <f t="shared" si="33"/>
        <v>63230.70011359889</v>
      </c>
      <c r="T49" s="734">
        <f t="shared" si="61"/>
        <v>646.39545688396811</v>
      </c>
      <c r="U49" s="290">
        <f t="shared" si="62"/>
        <v>1166.7478329036958</v>
      </c>
      <c r="V49" s="290">
        <f t="shared" si="63"/>
        <v>-3618.0821568425117</v>
      </c>
      <c r="W49" s="290">
        <f t="shared" si="64"/>
        <v>-3159.8798249962701</v>
      </c>
      <c r="X49" s="291">
        <f t="shared" si="65"/>
        <v>-55348.018657685832</v>
      </c>
      <c r="Y49" s="293">
        <f ca="1">IF(AND(Y$22=TRUE,INDEX(CDRANGE_CLS1,MATCH($A49,$A$24:$A$67,0),MATCH(Y$20,$B$20:$G$20,0))&lt;$D$6/OPDAYS_Cls1),86,payback(C49,T49,disc_rate/12,85))</f>
        <v>5</v>
      </c>
      <c r="Z49" s="294">
        <f ca="1">IF(AND(Z$22=TRUE,INDEX(CDRANGE_CLS1,MATCH($A49,$A$24:$A$67,0),MATCH(Z$20,$B$20:$G$20,0))&lt;$D$6/OPDAYS_Cls1),86,payback(D49,U49,disc_rate/12,85))</f>
        <v>9</v>
      </c>
      <c r="AA49" s="294">
        <f>IF(AND(AA$22=TRUE,INDEX(CDRANGE_CLS1,MATCH($A49,$A$24:$A$67,0),MATCH(AA$20,$B$20:$G$20,0))&lt;$D$6/OPDAYS_Cls1),86,payback(E49,V49,disc_rate/12,85))</f>
        <v>86</v>
      </c>
      <c r="AB49" s="294">
        <f ca="1">IF(AND(AB$22=TRUE,INDEX(CDRANGE_CLS1,MATCH($A49,$A$24:$A$67,0),MATCH(AB$20,$B$20:$G$20,0))&lt;$D$6/OPDAYS_Cls1),86,payback(F49,W49,disc_rate/12,85))</f>
        <v>86</v>
      </c>
      <c r="AC49" s="592">
        <f ca="1">IF(AND(AC$22=TRUE,INDEX(CDRANGE_CLS1,MATCH($A49,$A$24:$A$67,0),MATCH(AC$20,$B$20:$G$20,0))&lt;$D$6/OPDAYS_Cls1),86,payback(G49,X49,disc_rate/12,85))</f>
        <v>86</v>
      </c>
      <c r="AD49" s="296">
        <f t="shared" si="35"/>
        <v>0</v>
      </c>
      <c r="AE49" s="297">
        <f t="shared" si="36"/>
        <v>0</v>
      </c>
      <c r="AF49" s="297">
        <f t="shared" si="37"/>
        <v>0</v>
      </c>
      <c r="AG49" s="297">
        <f t="shared" si="38"/>
        <v>0</v>
      </c>
      <c r="AH49" s="298">
        <f t="shared" si="39"/>
        <v>0</v>
      </c>
      <c r="AI49" s="1143">
        <f t="shared" si="40"/>
        <v>0.47628706341121668</v>
      </c>
      <c r="AJ49" s="1144">
        <f t="shared" si="41"/>
        <v>0.47628706341121668</v>
      </c>
      <c r="AK49" s="1144">
        <f t="shared" si="42"/>
        <v>0.47628706341121668</v>
      </c>
      <c r="AL49" s="1144">
        <f t="shared" si="43"/>
        <v>0.47628706341121668</v>
      </c>
      <c r="AM49" s="1152">
        <f t="shared" si="44"/>
        <v>0</v>
      </c>
      <c r="AN49" s="299">
        <f t="shared" si="66"/>
        <v>0.9992185080081798</v>
      </c>
      <c r="AO49" s="300">
        <f t="shared" si="67"/>
        <v>0.99126757308556779</v>
      </c>
      <c r="AP49" s="300">
        <f t="shared" si="68"/>
        <v>7.1718218885441498E-4</v>
      </c>
      <c r="AQ49" s="300">
        <f t="shared" si="69"/>
        <v>0.42190370090478302</v>
      </c>
      <c r="AR49" s="598">
        <f t="shared" si="70"/>
        <v>0</v>
      </c>
      <c r="AS49" s="296">
        <f t="shared" ca="1" si="46"/>
        <v>0.95257412682243336</v>
      </c>
      <c r="AT49" s="297">
        <f t="shared" ca="1" si="47"/>
        <v>0.93027929294524792</v>
      </c>
      <c r="AU49" s="297">
        <f t="shared" si="48"/>
        <v>0</v>
      </c>
      <c r="AV49" s="297">
        <f t="shared" ca="1" si="49"/>
        <v>0</v>
      </c>
      <c r="AW49" s="298">
        <f t="shared" ca="1" si="50"/>
        <v>0</v>
      </c>
      <c r="AX49" s="296">
        <f t="shared" ca="1" si="51"/>
        <v>0.95182969777070647</v>
      </c>
      <c r="AY49" s="297">
        <f t="shared" ca="1" si="52"/>
        <v>0.92215569700959388</v>
      </c>
      <c r="AZ49" s="297">
        <f t="shared" si="53"/>
        <v>0</v>
      </c>
      <c r="BA49" s="297">
        <f t="shared" ca="1" si="71"/>
        <v>0</v>
      </c>
      <c r="BB49" s="298">
        <f t="shared" ca="1" si="72"/>
        <v>0</v>
      </c>
      <c r="BC49" s="296">
        <f t="shared" ca="1" si="73"/>
        <v>4.8170302229293416E-2</v>
      </c>
      <c r="BD49" s="297">
        <f t="shared" ca="1" si="56"/>
        <v>0.48345081881734114</v>
      </c>
      <c r="BE49" s="297">
        <f t="shared" ca="1" si="57"/>
        <v>0.46837887895336539</v>
      </c>
      <c r="BF49" s="297">
        <f t="shared" ca="1" si="58"/>
        <v>0</v>
      </c>
      <c r="BG49" s="297">
        <f t="shared" ca="1" si="59"/>
        <v>0</v>
      </c>
      <c r="BH49" s="298">
        <f t="shared" ca="1" si="60"/>
        <v>0</v>
      </c>
    </row>
    <row r="50" spans="1:60" x14ac:dyDescent="0.2">
      <c r="A50" s="317">
        <v>2033</v>
      </c>
      <c r="B50" s="820">
        <f t="shared" si="76"/>
        <v>163724.32</v>
      </c>
      <c r="C50" s="821">
        <f t="shared" si="76"/>
        <v>2791.07</v>
      </c>
      <c r="D50" s="821">
        <f t="shared" si="76"/>
        <v>9198.06</v>
      </c>
      <c r="E50" s="821">
        <f t="shared" si="76"/>
        <v>252161.61</v>
      </c>
      <c r="F50" s="821">
        <f t="shared" si="76"/>
        <v>90086.69</v>
      </c>
      <c r="G50" s="822">
        <f t="shared" si="76"/>
        <v>1000000</v>
      </c>
      <c r="H50" s="781">
        <f t="shared" si="77"/>
        <v>1</v>
      </c>
      <c r="I50" s="782">
        <f t="shared" si="77"/>
        <v>1</v>
      </c>
      <c r="J50" s="782">
        <f t="shared" si="77"/>
        <v>1</v>
      </c>
      <c r="K50" s="782">
        <f t="shared" si="77"/>
        <v>1</v>
      </c>
      <c r="L50" s="782">
        <f t="shared" si="77"/>
        <v>1</v>
      </c>
      <c r="M50" s="783">
        <f t="shared" si="77"/>
        <v>1</v>
      </c>
      <c r="N50" s="275">
        <f t="shared" si="28"/>
        <v>7991.5170051416526</v>
      </c>
      <c r="O50" s="276">
        <f t="shared" si="29"/>
        <v>7296.1946989585203</v>
      </c>
      <c r="P50" s="276">
        <f t="shared" si="30"/>
        <v>6770.0821420469356</v>
      </c>
      <c r="Q50" s="276">
        <f t="shared" si="31"/>
        <v>11496.665711808053</v>
      </c>
      <c r="R50" s="276">
        <f t="shared" si="32"/>
        <v>10775.652016481552</v>
      </c>
      <c r="S50" s="278">
        <f t="shared" si="33"/>
        <v>64248.016029827733</v>
      </c>
      <c r="T50" s="734">
        <f t="shared" si="61"/>
        <v>695.32230618313224</v>
      </c>
      <c r="U50" s="290">
        <f t="shared" si="62"/>
        <v>1221.434863094717</v>
      </c>
      <c r="V50" s="290">
        <f t="shared" si="63"/>
        <v>-3505.1487066664004</v>
      </c>
      <c r="W50" s="290">
        <f t="shared" si="64"/>
        <v>-2784.1350113398994</v>
      </c>
      <c r="X50" s="291">
        <f t="shared" si="65"/>
        <v>-56256.499024686083</v>
      </c>
      <c r="Y50" s="293">
        <f ca="1">IF(AND(Y$22=TRUE,INDEX(CDRANGE_CLS1,MATCH($A50,$A$24:$A$67,0),MATCH(Y$20,$B$20:$G$20,0))&lt;$D$6/OPDAYS_Cls1),86,payback(C50,T50,disc_rate/12,85))</f>
        <v>5</v>
      </c>
      <c r="Z50" s="294">
        <f ca="1">IF(AND(Z$22=TRUE,INDEX(CDRANGE_CLS1,MATCH($A50,$A$24:$A$67,0),MATCH(Z$20,$B$20:$G$20,0))&lt;$D$6/OPDAYS_Cls1),86,payback(D50,U50,disc_rate/12,85))</f>
        <v>8</v>
      </c>
      <c r="AA50" s="294">
        <f>IF(AND(AA$22=TRUE,INDEX(CDRANGE_CLS1,MATCH($A50,$A$24:$A$67,0),MATCH(AA$20,$B$20:$G$20,0))&lt;$D$6/OPDAYS_Cls1),86,payback(E50,V50,disc_rate/12,85))</f>
        <v>86</v>
      </c>
      <c r="AB50" s="294">
        <f ca="1">IF(AND(AB$22=TRUE,INDEX(CDRANGE_CLS1,MATCH($A50,$A$24:$A$67,0),MATCH(AB$20,$B$20:$G$20,0))&lt;$D$6/OPDAYS_Cls1),86,payback(F50,W50,disc_rate/12,85))</f>
        <v>86</v>
      </c>
      <c r="AC50" s="592">
        <f ca="1">IF(AND(AC$22=TRUE,INDEX(CDRANGE_CLS1,MATCH($A50,$A$24:$A$67,0),MATCH(AC$20,$B$20:$G$20,0))&lt;$D$6/OPDAYS_Cls1),86,payback(G50,X50,disc_rate/12,85))</f>
        <v>86</v>
      </c>
      <c r="AD50" s="296">
        <f t="shared" si="35"/>
        <v>0</v>
      </c>
      <c r="AE50" s="297">
        <f t="shared" si="36"/>
        <v>0</v>
      </c>
      <c r="AF50" s="297">
        <f t="shared" si="37"/>
        <v>0</v>
      </c>
      <c r="AG50" s="297">
        <f t="shared" si="38"/>
        <v>0</v>
      </c>
      <c r="AH50" s="298">
        <f t="shared" si="39"/>
        <v>0</v>
      </c>
      <c r="AI50" s="1143">
        <f t="shared" si="40"/>
        <v>0.49100689501895423</v>
      </c>
      <c r="AJ50" s="1144">
        <f t="shared" si="41"/>
        <v>0.49100689501895423</v>
      </c>
      <c r="AK50" s="1144">
        <f t="shared" si="42"/>
        <v>0.49100689501895423</v>
      </c>
      <c r="AL50" s="1144">
        <f t="shared" si="43"/>
        <v>0.49100689501895423</v>
      </c>
      <c r="AM50" s="1152">
        <f t="shared" si="44"/>
        <v>0</v>
      </c>
      <c r="AN50" s="299">
        <f t="shared" si="66"/>
        <v>0.99919306735802915</v>
      </c>
      <c r="AO50" s="300">
        <f t="shared" si="67"/>
        <v>0.99127106638009133</v>
      </c>
      <c r="AP50" s="300">
        <f t="shared" si="68"/>
        <v>1.3752156611003263E-3</v>
      </c>
      <c r="AQ50" s="300">
        <f t="shared" si="69"/>
        <v>0.43128205769086725</v>
      </c>
      <c r="AR50" s="598">
        <f t="shared" si="70"/>
        <v>0</v>
      </c>
      <c r="AS50" s="296">
        <f t="shared" ca="1" si="46"/>
        <v>0.98201379003790845</v>
      </c>
      <c r="AT50" s="297">
        <f t="shared" ca="1" si="47"/>
        <v>0.97086789425399456</v>
      </c>
      <c r="AU50" s="297">
        <f t="shared" si="48"/>
        <v>0</v>
      </c>
      <c r="AV50" s="297">
        <f t="shared" ca="1" si="49"/>
        <v>0</v>
      </c>
      <c r="AW50" s="298">
        <f t="shared" ca="1" si="50"/>
        <v>0</v>
      </c>
      <c r="AX50" s="296">
        <f t="shared" ca="1" si="51"/>
        <v>0.98122137105586138</v>
      </c>
      <c r="AY50" s="297">
        <f t="shared" ca="1" si="52"/>
        <v>0.96239325285135091</v>
      </c>
      <c r="AZ50" s="297">
        <f t="shared" si="53"/>
        <v>0</v>
      </c>
      <c r="BA50" s="297">
        <f t="shared" ca="1" si="71"/>
        <v>0</v>
      </c>
      <c r="BB50" s="298">
        <f t="shared" ca="1" si="72"/>
        <v>0</v>
      </c>
      <c r="BC50" s="296">
        <f t="shared" ca="1" si="73"/>
        <v>1.8778628944138731E-2</v>
      </c>
      <c r="BD50" s="297">
        <f t="shared" ca="1" si="56"/>
        <v>0.49536331285738877</v>
      </c>
      <c r="BE50" s="297">
        <f t="shared" ca="1" si="57"/>
        <v>0.48585805819847255</v>
      </c>
      <c r="BF50" s="297">
        <f t="shared" ca="1" si="58"/>
        <v>0</v>
      </c>
      <c r="BG50" s="297">
        <f t="shared" ca="1" si="59"/>
        <v>0</v>
      </c>
      <c r="BH50" s="298">
        <f t="shared" ca="1" si="60"/>
        <v>0</v>
      </c>
    </row>
    <row r="51" spans="1:60" x14ac:dyDescent="0.2">
      <c r="A51" s="317">
        <v>2034</v>
      </c>
      <c r="B51" s="820">
        <f t="shared" si="76"/>
        <v>163799.76999999999</v>
      </c>
      <c r="C51" s="821">
        <f t="shared" si="76"/>
        <v>2812.72</v>
      </c>
      <c r="D51" s="821">
        <f t="shared" si="76"/>
        <v>9199.24</v>
      </c>
      <c r="E51" s="821">
        <f t="shared" si="76"/>
        <v>246453.33</v>
      </c>
      <c r="F51" s="821">
        <f t="shared" si="76"/>
        <v>89552.36</v>
      </c>
      <c r="G51" s="822">
        <f t="shared" si="76"/>
        <v>1000000</v>
      </c>
      <c r="H51" s="781">
        <f t="shared" si="77"/>
        <v>1</v>
      </c>
      <c r="I51" s="782">
        <f t="shared" si="77"/>
        <v>1</v>
      </c>
      <c r="J51" s="782">
        <f t="shared" si="77"/>
        <v>1</v>
      </c>
      <c r="K51" s="782">
        <f t="shared" si="77"/>
        <v>1</v>
      </c>
      <c r="L51" s="782">
        <f t="shared" si="77"/>
        <v>1</v>
      </c>
      <c r="M51" s="783">
        <f t="shared" si="77"/>
        <v>1</v>
      </c>
      <c r="N51" s="275">
        <f t="shared" si="28"/>
        <v>8038.3215066515659</v>
      </c>
      <c r="O51" s="276">
        <f t="shared" si="29"/>
        <v>7328.3636198010017</v>
      </c>
      <c r="P51" s="276">
        <f t="shared" si="30"/>
        <v>6799.2478838014358</v>
      </c>
      <c r="Q51" s="276">
        <f t="shared" si="31"/>
        <v>11490.589909858474</v>
      </c>
      <c r="R51" s="276">
        <f t="shared" si="32"/>
        <v>10537.666338382527</v>
      </c>
      <c r="S51" s="278">
        <f t="shared" si="33"/>
        <v>64766.457315925356</v>
      </c>
      <c r="T51" s="734">
        <f t="shared" si="61"/>
        <v>709.95788685056414</v>
      </c>
      <c r="U51" s="290">
        <f t="shared" si="62"/>
        <v>1239.0736228501301</v>
      </c>
      <c r="V51" s="290">
        <f t="shared" si="63"/>
        <v>-3452.2684032069083</v>
      </c>
      <c r="W51" s="290">
        <f t="shared" si="64"/>
        <v>-2499.3448317309612</v>
      </c>
      <c r="X51" s="291">
        <f t="shared" si="65"/>
        <v>-56728.135809273794</v>
      </c>
      <c r="Y51" s="293">
        <f ca="1">IF(AND(Y$22=TRUE,INDEX(CDRANGE_CLS1,MATCH($A51,$A$24:$A$67,0),MATCH(Y$20,$B$20:$G$20,0))&lt;$D$6/OPDAYS_Cls1),86,payback(C51,T51,disc_rate/12,85))</f>
        <v>5</v>
      </c>
      <c r="Z51" s="294">
        <f ca="1">IF(AND(Z$22=TRUE,INDEX(CDRANGE_CLS1,MATCH($A51,$A$24:$A$67,0),MATCH(Z$20,$B$20:$G$20,0))&lt;$D$6/OPDAYS_Cls1),86,payback(D51,U51,disc_rate/12,85))</f>
        <v>8</v>
      </c>
      <c r="AA51" s="294">
        <f>IF(AND(AA$22=TRUE,INDEX(CDRANGE_CLS1,MATCH($A51,$A$24:$A$67,0),MATCH(AA$20,$B$20:$G$20,0))&lt;$D$6/OPDAYS_Cls1),86,payback(E51,V51,disc_rate/12,85))</f>
        <v>86</v>
      </c>
      <c r="AB51" s="294">
        <f ca="1">IF(AND(AB$22=TRUE,INDEX(CDRANGE_CLS1,MATCH($A51,$A$24:$A$67,0),MATCH(AB$20,$B$20:$G$20,0))&lt;$D$6/OPDAYS_Cls1),86,payback(F51,W51,disc_rate/12,85))</f>
        <v>86</v>
      </c>
      <c r="AC51" s="592">
        <f ca="1">IF(AND(AC$22=TRUE,INDEX(CDRANGE_CLS1,MATCH($A51,$A$24:$A$67,0),MATCH(AC$20,$B$20:$G$20,0))&lt;$D$6/OPDAYS_Cls1),86,payback(G51,X51,disc_rate/12,85))</f>
        <v>86</v>
      </c>
      <c r="AD51" s="296">
        <f t="shared" si="35"/>
        <v>0</v>
      </c>
      <c r="AE51" s="297">
        <f t="shared" si="36"/>
        <v>0</v>
      </c>
      <c r="AF51" s="297">
        <f t="shared" si="37"/>
        <v>0</v>
      </c>
      <c r="AG51" s="297">
        <f t="shared" si="38"/>
        <v>0</v>
      </c>
      <c r="AH51" s="298">
        <f t="shared" si="39"/>
        <v>0</v>
      </c>
      <c r="AI51" s="1143">
        <f t="shared" si="40"/>
        <v>0.49665357453785763</v>
      </c>
      <c r="AJ51" s="1144">
        <f t="shared" si="41"/>
        <v>0.49665357453785763</v>
      </c>
      <c r="AK51" s="1144">
        <f t="shared" si="42"/>
        <v>0.49665357453785763</v>
      </c>
      <c r="AL51" s="1144">
        <f t="shared" si="43"/>
        <v>0.49665357453785763</v>
      </c>
      <c r="AM51" s="1152">
        <f t="shared" si="44"/>
        <v>0</v>
      </c>
      <c r="AN51" s="299">
        <f t="shared" si="66"/>
        <v>0.99918125986783257</v>
      </c>
      <c r="AO51" s="300">
        <f t="shared" si="67"/>
        <v>0.99127684293568608</v>
      </c>
      <c r="AP51" s="300">
        <f t="shared" si="68"/>
        <v>1.8577260068464163E-3</v>
      </c>
      <c r="AQ51" s="300">
        <f t="shared" si="69"/>
        <v>0.43592686106830913</v>
      </c>
      <c r="AR51" s="598">
        <f t="shared" si="70"/>
        <v>0</v>
      </c>
      <c r="AS51" s="296">
        <f t="shared" ca="1" si="46"/>
        <v>0.99330714907571527</v>
      </c>
      <c r="AT51" s="297">
        <f t="shared" ca="1" si="47"/>
        <v>0.98203307321514388</v>
      </c>
      <c r="AU51" s="297">
        <f t="shared" si="48"/>
        <v>0</v>
      </c>
      <c r="AV51" s="297">
        <f t="shared" ca="1" si="49"/>
        <v>0</v>
      </c>
      <c r="AW51" s="298">
        <f t="shared" ca="1" si="50"/>
        <v>0</v>
      </c>
      <c r="AX51" s="296">
        <f t="shared" ca="1" si="51"/>
        <v>0.99249388864919819</v>
      </c>
      <c r="AY51" s="297">
        <f t="shared" ca="1" si="52"/>
        <v>0.97346664447513731</v>
      </c>
      <c r="AZ51" s="297">
        <f t="shared" si="53"/>
        <v>0</v>
      </c>
      <c r="BA51" s="297">
        <f t="shared" ca="1" si="71"/>
        <v>0</v>
      </c>
      <c r="BB51" s="298">
        <f t="shared" ca="1" si="72"/>
        <v>0</v>
      </c>
      <c r="BC51" s="296">
        <f t="shared" ca="1" si="73"/>
        <v>7.506111350801925E-3</v>
      </c>
      <c r="BD51" s="297">
        <f t="shared" ca="1" si="56"/>
        <v>0.50104979342619826</v>
      </c>
      <c r="BE51" s="297">
        <f t="shared" ca="1" si="57"/>
        <v>0.49144409522299987</v>
      </c>
      <c r="BF51" s="297">
        <f t="shared" ca="1" si="58"/>
        <v>0</v>
      </c>
      <c r="BG51" s="297">
        <f t="shared" ca="1" si="59"/>
        <v>0</v>
      </c>
      <c r="BH51" s="298">
        <f t="shared" ca="1" si="60"/>
        <v>0</v>
      </c>
    </row>
    <row r="52" spans="1:60" ht="13.5" thickBot="1" x14ac:dyDescent="0.25">
      <c r="A52" s="302">
        <v>2035</v>
      </c>
      <c r="B52" s="823">
        <f t="shared" si="76"/>
        <v>163848.29</v>
      </c>
      <c r="C52" s="824">
        <f t="shared" si="76"/>
        <v>2830.19</v>
      </c>
      <c r="D52" s="824">
        <f t="shared" si="76"/>
        <v>9200.19</v>
      </c>
      <c r="E52" s="824">
        <f t="shared" si="76"/>
        <v>241847.19</v>
      </c>
      <c r="F52" s="824">
        <f t="shared" si="76"/>
        <v>89121.19</v>
      </c>
      <c r="G52" s="825">
        <f t="shared" si="76"/>
        <v>1000000</v>
      </c>
      <c r="H52" s="781">
        <f t="shared" si="77"/>
        <v>1</v>
      </c>
      <c r="I52" s="782">
        <f t="shared" si="77"/>
        <v>1</v>
      </c>
      <c r="J52" s="782">
        <f t="shared" si="77"/>
        <v>1</v>
      </c>
      <c r="K52" s="782">
        <f t="shared" si="77"/>
        <v>1</v>
      </c>
      <c r="L52" s="782">
        <f t="shared" si="77"/>
        <v>1</v>
      </c>
      <c r="M52" s="783">
        <f t="shared" si="77"/>
        <v>1</v>
      </c>
      <c r="N52" s="778">
        <f t="shared" si="28"/>
        <v>8098.9126324083218</v>
      </c>
      <c r="O52" s="779">
        <f t="shared" si="29"/>
        <v>7372.4243815704331</v>
      </c>
      <c r="P52" s="779">
        <f t="shared" si="30"/>
        <v>6839.5762535783242</v>
      </c>
      <c r="Q52" s="779">
        <f t="shared" si="31"/>
        <v>11359.703619062881</v>
      </c>
      <c r="R52" s="779">
        <f t="shared" si="32"/>
        <v>10305.247675267998</v>
      </c>
      <c r="S52" s="780">
        <f t="shared" si="33"/>
        <v>65346.763002636719</v>
      </c>
      <c r="T52" s="737">
        <f t="shared" si="61"/>
        <v>726.4882508378887</v>
      </c>
      <c r="U52" s="304">
        <f t="shared" si="62"/>
        <v>1259.3363788299976</v>
      </c>
      <c r="V52" s="304">
        <f t="shared" si="63"/>
        <v>-3260.7909866545588</v>
      </c>
      <c r="W52" s="304">
        <f t="shared" si="64"/>
        <v>-2206.3350428596759</v>
      </c>
      <c r="X52" s="305">
        <f t="shared" si="65"/>
        <v>-57247.8503702284</v>
      </c>
      <c r="Y52" s="307">
        <f ca="1">IF(AND(Y$22=TRUE,INDEX(CDRANGE_CLS1,MATCH($A52,$A$24:$A$67,0),MATCH(Y$20,$B$20:$G$20,0))&lt;$D$6/OPDAYS_Cls1),86,payback(C52,T52,disc_rate/12,85))</f>
        <v>4</v>
      </c>
      <c r="Z52" s="308">
        <f ca="1">IF(AND(Z$22=TRUE,INDEX(CDRANGE_CLS1,MATCH($A52,$A$24:$A$67,0),MATCH(Z$20,$B$20:$G$20,0))&lt;$D$6/OPDAYS_Cls1),86,payback(D52,U52,disc_rate/12,85))</f>
        <v>8</v>
      </c>
      <c r="AA52" s="308">
        <f>IF(AND(AA$22=TRUE,INDEX(CDRANGE_CLS1,MATCH($A52,$A$24:$A$67,0),MATCH(AA$20,$B$20:$G$20,0))&lt;$D$6/OPDAYS_Cls1),86,payback(E52,V52,disc_rate/12,85))</f>
        <v>86</v>
      </c>
      <c r="AB52" s="308">
        <f ca="1">IF(AND(AB$22=TRUE,INDEX(CDRANGE_CLS1,MATCH($A52,$A$24:$A$67,0),MATCH(AB$20,$B$20:$G$20,0))&lt;$D$6/OPDAYS_Cls1),86,payback(F52,W52,disc_rate/12,85))</f>
        <v>86</v>
      </c>
      <c r="AC52" s="593">
        <f ca="1">IF(AND(AC$22=TRUE,INDEX(CDRANGE_CLS1,MATCH($A52,$A$24:$A$67,0),MATCH(AC$20,$B$20:$G$20,0))&lt;$D$6/OPDAYS_Cls1),86,payback(G52,X52,disc_rate/12,85))</f>
        <v>86</v>
      </c>
      <c r="AD52" s="310">
        <f t="shared" si="35"/>
        <v>0</v>
      </c>
      <c r="AE52" s="311">
        <f t="shared" si="36"/>
        <v>0</v>
      </c>
      <c r="AF52" s="311">
        <f t="shared" si="37"/>
        <v>0</v>
      </c>
      <c r="AG52" s="311">
        <f t="shared" si="38"/>
        <v>0</v>
      </c>
      <c r="AH52" s="312">
        <f t="shared" si="39"/>
        <v>0</v>
      </c>
      <c r="AI52" s="1146">
        <f t="shared" si="40"/>
        <v>0.49876368842168267</v>
      </c>
      <c r="AJ52" s="1147">
        <f t="shared" si="41"/>
        <v>0.49876368842168267</v>
      </c>
      <c r="AK52" s="1147">
        <f t="shared" si="42"/>
        <v>0.49876368842168267</v>
      </c>
      <c r="AL52" s="1147">
        <f t="shared" si="43"/>
        <v>0.49876368842168267</v>
      </c>
      <c r="AM52" s="1153">
        <f t="shared" si="44"/>
        <v>0</v>
      </c>
      <c r="AN52" s="313">
        <f t="shared" si="66"/>
        <v>0.99917155267526514</v>
      </c>
      <c r="AO52" s="314">
        <f t="shared" si="67"/>
        <v>0.99128019309593196</v>
      </c>
      <c r="AP52" s="314">
        <f t="shared" si="68"/>
        <v>2.3532544593035665E-3</v>
      </c>
      <c r="AQ52" s="314">
        <f t="shared" si="69"/>
        <v>0.43963169613348974</v>
      </c>
      <c r="AR52" s="599">
        <f t="shared" si="70"/>
        <v>0</v>
      </c>
      <c r="AS52" s="310">
        <f t="shared" ca="1" si="46"/>
        <v>0.99752737684336534</v>
      </c>
      <c r="AT52" s="311">
        <f t="shared" ca="1" si="47"/>
        <v>0.98620540122888034</v>
      </c>
      <c r="AU52" s="311">
        <f t="shared" si="48"/>
        <v>0</v>
      </c>
      <c r="AV52" s="311">
        <f t="shared" ca="1" si="49"/>
        <v>0</v>
      </c>
      <c r="AW52" s="312">
        <f t="shared" ca="1" si="50"/>
        <v>0</v>
      </c>
      <c r="AX52" s="310">
        <f t="shared" ca="1" si="51"/>
        <v>0.99670097795666968</v>
      </c>
      <c r="AY52" s="311">
        <f t="shared" ca="1" si="52"/>
        <v>0.9776058805624156</v>
      </c>
      <c r="AZ52" s="311">
        <f t="shared" si="53"/>
        <v>0</v>
      </c>
      <c r="BA52" s="311">
        <f t="shared" ca="1" si="71"/>
        <v>0</v>
      </c>
      <c r="BB52" s="312">
        <f t="shared" ca="1" si="72"/>
        <v>0</v>
      </c>
      <c r="BC52" s="310">
        <f t="shared" ca="1" si="73"/>
        <v>3.2990220433302131E-3</v>
      </c>
      <c r="BD52" s="311">
        <f t="shared" ca="1" si="56"/>
        <v>0.50317043430874486</v>
      </c>
      <c r="BE52" s="311">
        <f t="shared" ca="1" si="57"/>
        <v>0.49353054364792487</v>
      </c>
      <c r="BF52" s="311">
        <f t="shared" ca="1" si="58"/>
        <v>0</v>
      </c>
      <c r="BG52" s="311">
        <f t="shared" ca="1" si="59"/>
        <v>0</v>
      </c>
      <c r="BH52" s="312">
        <f t="shared" ca="1" si="60"/>
        <v>0</v>
      </c>
    </row>
    <row r="53" spans="1:60" x14ac:dyDescent="0.2">
      <c r="A53" s="316">
        <v>2036</v>
      </c>
      <c r="B53" s="826">
        <f t="shared" si="76"/>
        <v>163848.29</v>
      </c>
      <c r="C53" s="827">
        <f t="shared" si="76"/>
        <v>3020.27</v>
      </c>
      <c r="D53" s="827">
        <f t="shared" si="76"/>
        <v>9306.4699999999993</v>
      </c>
      <c r="E53" s="827">
        <f t="shared" si="76"/>
        <v>234483.13</v>
      </c>
      <c r="F53" s="827">
        <f t="shared" si="76"/>
        <v>86768.04</v>
      </c>
      <c r="G53" s="828">
        <f t="shared" si="76"/>
        <v>1000000</v>
      </c>
      <c r="H53" s="781">
        <f t="shared" si="77"/>
        <v>1</v>
      </c>
      <c r="I53" s="782">
        <f t="shared" si="77"/>
        <v>1</v>
      </c>
      <c r="J53" s="782">
        <f t="shared" si="77"/>
        <v>1</v>
      </c>
      <c r="K53" s="782">
        <f t="shared" si="77"/>
        <v>1</v>
      </c>
      <c r="L53" s="782">
        <f t="shared" si="77"/>
        <v>1</v>
      </c>
      <c r="M53" s="783">
        <f t="shared" si="77"/>
        <v>1</v>
      </c>
      <c r="N53" s="275">
        <f t="shared" si="28"/>
        <v>8166.8208860109962</v>
      </c>
      <c r="O53" s="276">
        <f t="shared" si="29"/>
        <v>7380.6924927502487</v>
      </c>
      <c r="P53" s="276">
        <f t="shared" si="30"/>
        <v>6813.0085875708473</v>
      </c>
      <c r="Q53" s="276">
        <f t="shared" si="31"/>
        <v>11109.868121633781</v>
      </c>
      <c r="R53" s="276">
        <f t="shared" si="32"/>
        <v>9928.0103621173021</v>
      </c>
      <c r="S53" s="278">
        <f t="shared" si="33"/>
        <v>66010.247693622412</v>
      </c>
      <c r="T53" s="733">
        <f t="shared" si="61"/>
        <v>786.12839326074754</v>
      </c>
      <c r="U53" s="276">
        <f t="shared" si="62"/>
        <v>1353.8122984401489</v>
      </c>
      <c r="V53" s="276">
        <f t="shared" si="63"/>
        <v>-2943.0472356227847</v>
      </c>
      <c r="W53" s="276">
        <f t="shared" si="64"/>
        <v>-1761.1894761063058</v>
      </c>
      <c r="X53" s="277">
        <f t="shared" si="65"/>
        <v>-57843.426807611417</v>
      </c>
      <c r="Y53" s="279">
        <f ca="1">IF(AND(Y$22=TRUE,INDEX(CDRANGE_CLS1,MATCH($A53,$A$24:$A$67,0),MATCH(Y$20,$B$20:$G$20,0))&lt;$D$6/OPDAYS_Cls1),86,payback(C53,T53,disc_rate/12,85))</f>
        <v>4</v>
      </c>
      <c r="Z53" s="280">
        <f ca="1">IF(AND(Z$22=TRUE,INDEX(CDRANGE_CLS1,MATCH($A53,$A$24:$A$67,0),MATCH(Z$20,$B$20:$G$20,0))&lt;$D$6/OPDAYS_Cls1),86,payback(D53,U53,disc_rate/12,85))</f>
        <v>8</v>
      </c>
      <c r="AA53" s="280">
        <f>IF(AND(AA$22=TRUE,INDEX(CDRANGE_CLS1,MATCH($A53,$A$24:$A$67,0),MATCH(AA$20,$B$20:$G$20,0))&lt;$D$6/OPDAYS_Cls1),86,payback(E53,V53,disc_rate/12,85))</f>
        <v>86</v>
      </c>
      <c r="AB53" s="280">
        <f ca="1">IF(AND(AB$22=TRUE,INDEX(CDRANGE_CLS1,MATCH($A53,$A$24:$A$67,0),MATCH(AB$20,$B$20:$G$20,0))&lt;$D$6/OPDAYS_Cls1),86,payback(F53,W53,disc_rate/12,85))</f>
        <v>86</v>
      </c>
      <c r="AC53" s="610">
        <f ca="1">IF(AND(AC$22=TRUE,INDEX(CDRANGE_CLS1,MATCH($A53,$A$24:$A$67,0),MATCH(AC$20,$B$20:$G$20,0))&lt;$D$6/OPDAYS_Cls1),86,payback(G53,X53,disc_rate/12,85))</f>
        <v>86</v>
      </c>
      <c r="AD53" s="282">
        <f t="shared" si="35"/>
        <v>0</v>
      </c>
      <c r="AE53" s="283">
        <f t="shared" si="36"/>
        <v>0</v>
      </c>
      <c r="AF53" s="283">
        <f t="shared" si="37"/>
        <v>0</v>
      </c>
      <c r="AG53" s="283">
        <f t="shared" si="38"/>
        <v>0</v>
      </c>
      <c r="AH53" s="284">
        <f t="shared" si="39"/>
        <v>0</v>
      </c>
      <c r="AI53" s="1140">
        <f t="shared" si="40"/>
        <v>0.4995444744027997</v>
      </c>
      <c r="AJ53" s="1141">
        <f t="shared" si="41"/>
        <v>0.4995444744027997</v>
      </c>
      <c r="AK53" s="1141">
        <f t="shared" si="42"/>
        <v>0.4995444744027997</v>
      </c>
      <c r="AL53" s="1141">
        <f t="shared" si="43"/>
        <v>0.4995444744027997</v>
      </c>
      <c r="AM53" s="1154">
        <f t="shared" si="44"/>
        <v>0</v>
      </c>
      <c r="AN53" s="285">
        <f t="shared" si="66"/>
        <v>0.99905659044365069</v>
      </c>
      <c r="AO53" s="286">
        <f t="shared" si="67"/>
        <v>0.9910784747019894</v>
      </c>
      <c r="AP53" s="286">
        <f t="shared" si="68"/>
        <v>3.3829324062858435E-3</v>
      </c>
      <c r="AQ53" s="286">
        <f t="shared" si="69"/>
        <v>0.45886811197798072</v>
      </c>
      <c r="AR53" s="611">
        <f t="shared" si="70"/>
        <v>0</v>
      </c>
      <c r="AS53" s="282">
        <f t="shared" ca="1" si="46"/>
        <v>0.9990889488055994</v>
      </c>
      <c r="AT53" s="283">
        <f t="shared" ca="1" si="47"/>
        <v>0.98774924928690178</v>
      </c>
      <c r="AU53" s="283">
        <f t="shared" si="48"/>
        <v>0</v>
      </c>
      <c r="AV53" s="283">
        <f t="shared" ca="1" si="49"/>
        <v>0</v>
      </c>
      <c r="AW53" s="284">
        <f t="shared" ca="1" si="50"/>
        <v>0</v>
      </c>
      <c r="AX53" s="282">
        <f t="shared" ca="1" si="51"/>
        <v>0.99814639874365318</v>
      </c>
      <c r="AY53" s="283">
        <f t="shared" ca="1" si="52"/>
        <v>0.97893701937129773</v>
      </c>
      <c r="AZ53" s="283">
        <f t="shared" si="53"/>
        <v>0</v>
      </c>
      <c r="BA53" s="283">
        <f t="shared" ca="1" si="71"/>
        <v>0</v>
      </c>
      <c r="BB53" s="284">
        <f t="shared" ca="1" si="72"/>
        <v>0</v>
      </c>
      <c r="BC53" s="282">
        <f t="shared" ca="1" si="73"/>
        <v>1.8536012563468152E-3</v>
      </c>
      <c r="BD53" s="283">
        <f t="shared" ca="1" si="56"/>
        <v>0.50392220388699727</v>
      </c>
      <c r="BE53" s="283">
        <f t="shared" ca="1" si="57"/>
        <v>0.49422419485665586</v>
      </c>
      <c r="BF53" s="283">
        <f t="shared" ca="1" si="58"/>
        <v>0</v>
      </c>
      <c r="BG53" s="283">
        <f t="shared" ca="1" si="59"/>
        <v>0</v>
      </c>
      <c r="BH53" s="284">
        <f t="shared" ca="1" si="60"/>
        <v>0</v>
      </c>
    </row>
    <row r="54" spans="1:60" x14ac:dyDescent="0.2">
      <c r="A54" s="317">
        <v>2037</v>
      </c>
      <c r="B54" s="820">
        <f t="shared" ref="B54:G67" si="78">ROUND(INDEX(COST_Cls1,$A54-($A$24-1),MATCH(B$20,TECHOPTS_Cls1,0)),2)</f>
        <v>163848.29</v>
      </c>
      <c r="C54" s="821">
        <f t="shared" si="78"/>
        <v>3136.17</v>
      </c>
      <c r="D54" s="821">
        <f t="shared" si="78"/>
        <v>9371.2800000000007</v>
      </c>
      <c r="E54" s="821">
        <f t="shared" si="78"/>
        <v>229992.95999999999</v>
      </c>
      <c r="F54" s="821">
        <f t="shared" si="78"/>
        <v>85333.23</v>
      </c>
      <c r="G54" s="822">
        <f t="shared" si="78"/>
        <v>1000000</v>
      </c>
      <c r="H54" s="781">
        <f t="shared" ref="H54:M67" si="79">IF(H$21="Single-fuel",1,1-MIN(INDEX(CDRANGE_CLS1,$A54-($A$24-1),MATCH(H$20,TECHOPTS_Cls1,0))*OPDAYS_Cls1/$D$6,1))</f>
        <v>1</v>
      </c>
      <c r="I54" s="782">
        <f t="shared" si="79"/>
        <v>1</v>
      </c>
      <c r="J54" s="782">
        <f t="shared" si="79"/>
        <v>1</v>
      </c>
      <c r="K54" s="782">
        <f t="shared" si="79"/>
        <v>1</v>
      </c>
      <c r="L54" s="782">
        <f t="shared" si="79"/>
        <v>1</v>
      </c>
      <c r="M54" s="783">
        <f t="shared" si="79"/>
        <v>1</v>
      </c>
      <c r="N54" s="275">
        <f t="shared" si="28"/>
        <v>8210.1935862417358</v>
      </c>
      <c r="O54" s="276">
        <f t="shared" si="29"/>
        <v>7390.5533346678103</v>
      </c>
      <c r="P54" s="276">
        <f t="shared" si="30"/>
        <v>6801.6703371877866</v>
      </c>
      <c r="Q54" s="276">
        <f t="shared" si="31"/>
        <v>10950.437439966374</v>
      </c>
      <c r="R54" s="276">
        <f t="shared" si="32"/>
        <v>9622.8997733138076</v>
      </c>
      <c r="S54" s="278">
        <f t="shared" si="33"/>
        <v>66458.789198817292</v>
      </c>
      <c r="T54" s="734">
        <f t="shared" si="61"/>
        <v>819.64025157392553</v>
      </c>
      <c r="U54" s="290">
        <f t="shared" si="62"/>
        <v>1408.5232490539493</v>
      </c>
      <c r="V54" s="290">
        <f t="shared" si="63"/>
        <v>-2740.243853724638</v>
      </c>
      <c r="W54" s="290">
        <f t="shared" si="64"/>
        <v>-1412.7061870720718</v>
      </c>
      <c r="X54" s="291">
        <f t="shared" si="65"/>
        <v>-58248.595612575555</v>
      </c>
      <c r="Y54" s="293">
        <f ca="1">IF(AND(Y$22=TRUE,INDEX(CDRANGE_CLS1,MATCH($A54,$A$24:$A$67,0),MATCH(Y$20,$B$20:$G$20,0))&lt;$D$6/OPDAYS_Cls1),86,payback(C54,T54,disc_rate/12,85))</f>
        <v>4</v>
      </c>
      <c r="Z54" s="294">
        <f ca="1">IF(AND(Z$22=TRUE,INDEX(CDRANGE_CLS1,MATCH($A54,$A$24:$A$67,0),MATCH(Z$20,$B$20:$G$20,0))&lt;$D$6/OPDAYS_Cls1),86,payback(D54,U54,disc_rate/12,85))</f>
        <v>7</v>
      </c>
      <c r="AA54" s="294">
        <f>IF(AND(AA$22=TRUE,INDEX(CDRANGE_CLS1,MATCH($A54,$A$24:$A$67,0),MATCH(AA$20,$B$20:$G$20,0))&lt;$D$6/OPDAYS_Cls1),86,payback(E54,V54,disc_rate/12,85))</f>
        <v>86</v>
      </c>
      <c r="AB54" s="294">
        <f ca="1">IF(AND(AB$22=TRUE,INDEX(CDRANGE_CLS1,MATCH($A54,$A$24:$A$67,0),MATCH(AB$20,$B$20:$G$20,0))&lt;$D$6/OPDAYS_Cls1),86,payback(F54,W54,disc_rate/12,85))</f>
        <v>86</v>
      </c>
      <c r="AC54" s="592">
        <f ca="1">IF(AND(AC$22=TRUE,INDEX(CDRANGE_CLS1,MATCH($A54,$A$24:$A$67,0),MATCH(AC$20,$B$20:$G$20,0))&lt;$D$6/OPDAYS_Cls1),86,payback(G54,X54,disc_rate/12,85))</f>
        <v>86</v>
      </c>
      <c r="AD54" s="296">
        <f t="shared" si="35"/>
        <v>0</v>
      </c>
      <c r="AE54" s="297">
        <f t="shared" si="36"/>
        <v>0</v>
      </c>
      <c r="AF54" s="297">
        <f t="shared" si="37"/>
        <v>0</v>
      </c>
      <c r="AG54" s="297">
        <f t="shared" si="38"/>
        <v>0</v>
      </c>
      <c r="AH54" s="298">
        <f t="shared" si="39"/>
        <v>0</v>
      </c>
      <c r="AI54" s="1143">
        <f t="shared" si="40"/>
        <v>0.49983232493476681</v>
      </c>
      <c r="AJ54" s="1144">
        <f t="shared" si="41"/>
        <v>0.49983232493476681</v>
      </c>
      <c r="AK54" s="1144">
        <f t="shared" si="42"/>
        <v>0.49983232493476681</v>
      </c>
      <c r="AL54" s="1144">
        <f t="shared" si="43"/>
        <v>0.49983232493476681</v>
      </c>
      <c r="AM54" s="1152">
        <f t="shared" si="44"/>
        <v>0</v>
      </c>
      <c r="AN54" s="299">
        <f t="shared" si="66"/>
        <v>0.99898283385574727</v>
      </c>
      <c r="AO54" s="300">
        <f t="shared" si="67"/>
        <v>0.99095434917695002</v>
      </c>
      <c r="AP54" s="300">
        <f t="shared" si="68"/>
        <v>4.1977015889490543E-3</v>
      </c>
      <c r="AQ54" s="300">
        <f t="shared" si="69"/>
        <v>0.47074328543303257</v>
      </c>
      <c r="AR54" s="598">
        <f t="shared" si="70"/>
        <v>0</v>
      </c>
      <c r="AS54" s="296">
        <f t="shared" ca="1" si="46"/>
        <v>0.99966464986953363</v>
      </c>
      <c r="AT54" s="297">
        <f t="shared" ca="1" si="47"/>
        <v>0.99639303278182911</v>
      </c>
      <c r="AU54" s="297">
        <f t="shared" si="48"/>
        <v>0</v>
      </c>
      <c r="AV54" s="297">
        <f t="shared" ca="1" si="49"/>
        <v>0</v>
      </c>
      <c r="AW54" s="298">
        <f t="shared" ca="1" si="50"/>
        <v>0</v>
      </c>
      <c r="AX54" s="296">
        <f t="shared" ca="1" si="51"/>
        <v>0.99864782483208003</v>
      </c>
      <c r="AY54" s="297">
        <f t="shared" ca="1" si="52"/>
        <v>0.98738000932476488</v>
      </c>
      <c r="AZ54" s="297">
        <f t="shared" si="53"/>
        <v>0</v>
      </c>
      <c r="BA54" s="297">
        <f t="shared" ca="1" si="71"/>
        <v>0</v>
      </c>
      <c r="BB54" s="298">
        <f t="shared" ca="1" si="72"/>
        <v>0</v>
      </c>
      <c r="BC54" s="296">
        <f t="shared" ca="1" si="73"/>
        <v>1.3521751679198557E-3</v>
      </c>
      <c r="BD54" s="297">
        <f t="shared" ca="1" si="56"/>
        <v>0.50215684840350738</v>
      </c>
      <c r="BE54" s="297">
        <f t="shared" ca="1" si="57"/>
        <v>0.49649097642857276</v>
      </c>
      <c r="BF54" s="297">
        <f t="shared" ca="1" si="58"/>
        <v>0</v>
      </c>
      <c r="BG54" s="297">
        <f t="shared" ca="1" si="59"/>
        <v>0</v>
      </c>
      <c r="BH54" s="298">
        <f t="shared" ca="1" si="60"/>
        <v>0</v>
      </c>
    </row>
    <row r="55" spans="1:60" x14ac:dyDescent="0.2">
      <c r="A55" s="317">
        <v>2038</v>
      </c>
      <c r="B55" s="820">
        <f t="shared" si="78"/>
        <v>163848.29</v>
      </c>
      <c r="C55" s="821">
        <f t="shared" si="78"/>
        <v>3315.75</v>
      </c>
      <c r="D55" s="821">
        <f t="shared" si="78"/>
        <v>9471.69</v>
      </c>
      <c r="E55" s="821">
        <f t="shared" si="78"/>
        <v>223036.11</v>
      </c>
      <c r="F55" s="821">
        <f t="shared" si="78"/>
        <v>83110.210000000006</v>
      </c>
      <c r="G55" s="822">
        <f t="shared" si="78"/>
        <v>1000000</v>
      </c>
      <c r="H55" s="781">
        <f t="shared" si="79"/>
        <v>1</v>
      </c>
      <c r="I55" s="782">
        <f t="shared" si="79"/>
        <v>1</v>
      </c>
      <c r="J55" s="782">
        <f t="shared" si="79"/>
        <v>1</v>
      </c>
      <c r="K55" s="782">
        <f t="shared" si="79"/>
        <v>1</v>
      </c>
      <c r="L55" s="782">
        <f t="shared" si="79"/>
        <v>1</v>
      </c>
      <c r="M55" s="783">
        <f t="shared" si="79"/>
        <v>1</v>
      </c>
      <c r="N55" s="275">
        <f t="shared" si="28"/>
        <v>8273.5292603443249</v>
      </c>
      <c r="O55" s="276">
        <f t="shared" si="29"/>
        <v>7390.9217245783011</v>
      </c>
      <c r="P55" s="276">
        <f t="shared" si="30"/>
        <v>6771.0077784381565</v>
      </c>
      <c r="Q55" s="276">
        <f t="shared" si="31"/>
        <v>10715.707508179421</v>
      </c>
      <c r="R55" s="276">
        <f t="shared" si="32"/>
        <v>9274.2105209744241</v>
      </c>
      <c r="S55" s="278">
        <f t="shared" si="33"/>
        <v>67020.437162363218</v>
      </c>
      <c r="T55" s="734">
        <f t="shared" si="61"/>
        <v>882.60753576602383</v>
      </c>
      <c r="U55" s="290">
        <f t="shared" si="62"/>
        <v>1502.5214819061684</v>
      </c>
      <c r="V55" s="290">
        <f t="shared" si="63"/>
        <v>-2442.178247835096</v>
      </c>
      <c r="W55" s="290">
        <f t="shared" si="64"/>
        <v>-1000.6812606300991</v>
      </c>
      <c r="X55" s="291">
        <f t="shared" si="65"/>
        <v>-58746.907902018895</v>
      </c>
      <c r="Y55" s="293">
        <f ca="1">IF(AND(Y$22=TRUE,INDEX(CDRANGE_CLS1,MATCH($A55,$A$24:$A$67,0),MATCH(Y$20,$B$20:$G$20,0))&lt;$D$6/OPDAYS_Cls1),86,payback(C55,T55,disc_rate/12,85))</f>
        <v>4</v>
      </c>
      <c r="Z55" s="294">
        <f ca="1">IF(AND(Z$22=TRUE,INDEX(CDRANGE_CLS1,MATCH($A55,$A$24:$A$67,0),MATCH(Z$20,$B$20:$G$20,0))&lt;$D$6/OPDAYS_Cls1),86,payback(D55,U55,disc_rate/12,85))</f>
        <v>7</v>
      </c>
      <c r="AA55" s="294">
        <f>IF(AND(AA$22=TRUE,INDEX(CDRANGE_CLS1,MATCH($A55,$A$24:$A$67,0),MATCH(AA$20,$B$20:$G$20,0))&lt;$D$6/OPDAYS_Cls1),86,payback(E55,V55,disc_rate/12,85))</f>
        <v>86</v>
      </c>
      <c r="AB55" s="294">
        <f ca="1">IF(AND(AB$22=TRUE,INDEX(CDRANGE_CLS1,MATCH($A55,$A$24:$A$67,0),MATCH(AB$20,$B$20:$G$20,0))&lt;$D$6/OPDAYS_Cls1),86,payback(F55,W55,disc_rate/12,85))</f>
        <v>86</v>
      </c>
      <c r="AC55" s="592">
        <f ca="1">IF(AND(AC$22=TRUE,INDEX(CDRANGE_CLS1,MATCH($A55,$A$24:$A$67,0),MATCH(AC$20,$B$20:$G$20,0))&lt;$D$6/OPDAYS_Cls1),86,payback(G55,X55,disc_rate/12,85))</f>
        <v>86</v>
      </c>
      <c r="AD55" s="296">
        <f t="shared" si="35"/>
        <v>0</v>
      </c>
      <c r="AE55" s="297">
        <f t="shared" si="36"/>
        <v>0</v>
      </c>
      <c r="AF55" s="297">
        <f t="shared" si="37"/>
        <v>0</v>
      </c>
      <c r="AG55" s="297">
        <f t="shared" si="38"/>
        <v>0</v>
      </c>
      <c r="AH55" s="298">
        <f t="shared" si="39"/>
        <v>0</v>
      </c>
      <c r="AI55" s="1143">
        <f t="shared" si="40"/>
        <v>0.49993830271200684</v>
      </c>
      <c r="AJ55" s="1144">
        <f t="shared" si="41"/>
        <v>0.49993830271200684</v>
      </c>
      <c r="AK55" s="1144">
        <f t="shared" si="42"/>
        <v>0.49993830271200684</v>
      </c>
      <c r="AL55" s="1144">
        <f t="shared" si="43"/>
        <v>0.49993830271200684</v>
      </c>
      <c r="AM55" s="1152">
        <f t="shared" si="44"/>
        <v>0</v>
      </c>
      <c r="AN55" s="299">
        <f t="shared" si="66"/>
        <v>0.99886307914472694</v>
      </c>
      <c r="AO55" s="300">
        <f t="shared" si="67"/>
        <v>0.99076037177647769</v>
      </c>
      <c r="AP55" s="300">
        <f t="shared" si="68"/>
        <v>5.816148798573062E-3</v>
      </c>
      <c r="AQ55" s="300">
        <f t="shared" si="69"/>
        <v>0.48933997857415168</v>
      </c>
      <c r="AR55" s="598">
        <f t="shared" si="70"/>
        <v>0</v>
      </c>
      <c r="AS55" s="296">
        <f t="shared" ca="1" si="46"/>
        <v>0.99987660542401369</v>
      </c>
      <c r="AT55" s="297">
        <f t="shared" ca="1" si="47"/>
        <v>0.99660429466627287</v>
      </c>
      <c r="AU55" s="297">
        <f t="shared" si="48"/>
        <v>0</v>
      </c>
      <c r="AV55" s="297">
        <f t="shared" ca="1" si="49"/>
        <v>0</v>
      </c>
      <c r="AW55" s="298">
        <f t="shared" ca="1" si="50"/>
        <v>0</v>
      </c>
      <c r="AX55" s="296">
        <f t="shared" ca="1" si="51"/>
        <v>0.99873982485860746</v>
      </c>
      <c r="AY55" s="297">
        <f t="shared" ca="1" si="52"/>
        <v>0.98739604149759086</v>
      </c>
      <c r="AZ55" s="297">
        <f t="shared" si="53"/>
        <v>0</v>
      </c>
      <c r="BA55" s="297">
        <f t="shared" ca="1" si="71"/>
        <v>0</v>
      </c>
      <c r="BB55" s="298">
        <f t="shared" ca="1" si="72"/>
        <v>0</v>
      </c>
      <c r="BC55" s="296">
        <f t="shared" ca="1" si="73"/>
        <v>1.2601751413925388E-3</v>
      </c>
      <c r="BD55" s="297">
        <f t="shared" ca="1" si="56"/>
        <v>0.5022220557290471</v>
      </c>
      <c r="BE55" s="297">
        <f t="shared" ca="1" si="57"/>
        <v>0.49651776912956036</v>
      </c>
      <c r="BF55" s="297">
        <f t="shared" ca="1" si="58"/>
        <v>0</v>
      </c>
      <c r="BG55" s="297">
        <f t="shared" ca="1" si="59"/>
        <v>0</v>
      </c>
      <c r="BH55" s="298">
        <f t="shared" ca="1" si="60"/>
        <v>0</v>
      </c>
    </row>
    <row r="56" spans="1:60" x14ac:dyDescent="0.2">
      <c r="A56" s="317">
        <v>2039</v>
      </c>
      <c r="B56" s="820">
        <f t="shared" si="78"/>
        <v>163848.29</v>
      </c>
      <c r="C56" s="821">
        <f t="shared" si="78"/>
        <v>3584.1</v>
      </c>
      <c r="D56" s="821">
        <f t="shared" si="78"/>
        <v>9621.74</v>
      </c>
      <c r="E56" s="821">
        <f t="shared" si="78"/>
        <v>212639.61</v>
      </c>
      <c r="F56" s="821">
        <f t="shared" si="78"/>
        <v>79788.06</v>
      </c>
      <c r="G56" s="822">
        <f t="shared" si="78"/>
        <v>1000000</v>
      </c>
      <c r="H56" s="781">
        <f t="shared" si="79"/>
        <v>1</v>
      </c>
      <c r="I56" s="782">
        <f t="shared" si="79"/>
        <v>1</v>
      </c>
      <c r="J56" s="782">
        <f t="shared" si="79"/>
        <v>1</v>
      </c>
      <c r="K56" s="782">
        <f t="shared" si="79"/>
        <v>1</v>
      </c>
      <c r="L56" s="782">
        <f t="shared" si="79"/>
        <v>1</v>
      </c>
      <c r="M56" s="783">
        <f t="shared" si="79"/>
        <v>1</v>
      </c>
      <c r="N56" s="275">
        <f t="shared" si="28"/>
        <v>8340.9221852733808</v>
      </c>
      <c r="O56" s="276">
        <f t="shared" si="29"/>
        <v>7362.754104321215</v>
      </c>
      <c r="P56" s="276">
        <f t="shared" si="30"/>
        <v>6700.5011902493616</v>
      </c>
      <c r="Q56" s="276">
        <f t="shared" si="31"/>
        <v>10309.991844351671</v>
      </c>
      <c r="R56" s="276">
        <f t="shared" si="32"/>
        <v>8871.0943827240171</v>
      </c>
      <c r="S56" s="278">
        <f t="shared" si="33"/>
        <v>67596.226670143194</v>
      </c>
      <c r="T56" s="734">
        <f t="shared" si="61"/>
        <v>978.16808095216584</v>
      </c>
      <c r="U56" s="290">
        <f t="shared" si="62"/>
        <v>1640.4209950240192</v>
      </c>
      <c r="V56" s="290">
        <f t="shared" si="63"/>
        <v>-1969.06965907829</v>
      </c>
      <c r="W56" s="290">
        <f t="shared" si="64"/>
        <v>-530.1721974506363</v>
      </c>
      <c r="X56" s="291">
        <f t="shared" si="65"/>
        <v>-59255.304484869812</v>
      </c>
      <c r="Y56" s="293">
        <f ca="1">IF(AND(Y$22=TRUE,INDEX(CDRANGE_CLS1,MATCH($A56,$A$24:$A$67,0),MATCH(Y$20,$B$20:$G$20,0))&lt;$D$6/OPDAYS_Cls1),86,payback(C56,T56,disc_rate/12,85))</f>
        <v>4</v>
      </c>
      <c r="Z56" s="294">
        <f ca="1">IF(AND(Z$22=TRUE,INDEX(CDRANGE_CLS1,MATCH($A56,$A$24:$A$67,0),MATCH(Z$20,$B$20:$G$20,0))&lt;$D$6/OPDAYS_Cls1),86,payback(D56,U56,disc_rate/12,85))</f>
        <v>6</v>
      </c>
      <c r="AA56" s="294">
        <f>IF(AND(AA$22=TRUE,INDEX(CDRANGE_CLS1,MATCH($A56,$A$24:$A$67,0),MATCH(AA$20,$B$20:$G$20,0))&lt;$D$6/OPDAYS_Cls1),86,payback(E56,V56,disc_rate/12,85))</f>
        <v>86</v>
      </c>
      <c r="AB56" s="294">
        <f ca="1">IF(AND(AB$22=TRUE,INDEX(CDRANGE_CLS1,MATCH($A56,$A$24:$A$67,0),MATCH(AB$20,$B$20:$G$20,0))&lt;$D$6/OPDAYS_Cls1),86,payback(F56,W56,disc_rate/12,85))</f>
        <v>86</v>
      </c>
      <c r="AC56" s="592">
        <f ca="1">IF(AND(AC$22=TRUE,INDEX(CDRANGE_CLS1,MATCH($A56,$A$24:$A$67,0),MATCH(AC$20,$B$20:$G$20,0))&lt;$D$6/OPDAYS_Cls1),86,payback(G56,X56,disc_rate/12,85))</f>
        <v>86</v>
      </c>
      <c r="AD56" s="296">
        <f t="shared" si="35"/>
        <v>0</v>
      </c>
      <c r="AE56" s="297">
        <f t="shared" si="36"/>
        <v>0</v>
      </c>
      <c r="AF56" s="297">
        <f t="shared" si="37"/>
        <v>0</v>
      </c>
      <c r="AG56" s="297">
        <f t="shared" si="38"/>
        <v>0</v>
      </c>
      <c r="AH56" s="298">
        <f t="shared" si="39"/>
        <v>0</v>
      </c>
      <c r="AI56" s="1143">
        <f t="shared" si="40"/>
        <v>0.4999773010656488</v>
      </c>
      <c r="AJ56" s="1144">
        <f t="shared" si="41"/>
        <v>0.4999773010656488</v>
      </c>
      <c r="AK56" s="1144">
        <f t="shared" si="42"/>
        <v>0.4999773010656488</v>
      </c>
      <c r="AL56" s="1144">
        <f t="shared" si="43"/>
        <v>0.4999773010656488</v>
      </c>
      <c r="AM56" s="1152">
        <f t="shared" si="44"/>
        <v>0</v>
      </c>
      <c r="AN56" s="299">
        <f t="shared" si="66"/>
        <v>0.99867173319156222</v>
      </c>
      <c r="AO56" s="300">
        <f t="shared" si="67"/>
        <v>0.99046671644896866</v>
      </c>
      <c r="AP56" s="300">
        <f t="shared" si="68"/>
        <v>9.2934060600977642E-3</v>
      </c>
      <c r="AQ56" s="300">
        <f t="shared" si="69"/>
        <v>0.51752224918667411</v>
      </c>
      <c r="AR56" s="598">
        <f t="shared" si="70"/>
        <v>0</v>
      </c>
      <c r="AS56" s="296">
        <f t="shared" ca="1" si="46"/>
        <v>0.99995460213129761</v>
      </c>
      <c r="AT56" s="297">
        <f t="shared" ca="1" si="47"/>
        <v>0.99995460213129761</v>
      </c>
      <c r="AU56" s="297">
        <f t="shared" si="48"/>
        <v>0</v>
      </c>
      <c r="AV56" s="297">
        <f t="shared" ca="1" si="49"/>
        <v>0</v>
      </c>
      <c r="AW56" s="298">
        <f t="shared" ca="1" si="50"/>
        <v>0</v>
      </c>
      <c r="AX56" s="296">
        <f t="shared" ca="1" si="51"/>
        <v>0.99862639562334199</v>
      </c>
      <c r="AY56" s="297">
        <f t="shared" ca="1" si="52"/>
        <v>0.99042175137102118</v>
      </c>
      <c r="AZ56" s="297">
        <f t="shared" si="53"/>
        <v>0</v>
      </c>
      <c r="BA56" s="297">
        <f t="shared" ca="1" si="71"/>
        <v>0</v>
      </c>
      <c r="BB56" s="298">
        <f t="shared" ca="1" si="72"/>
        <v>0</v>
      </c>
      <c r="BC56" s="296">
        <f t="shared" ca="1" si="73"/>
        <v>1.3736043766581219E-3</v>
      </c>
      <c r="BD56" s="297">
        <f t="shared" ca="1" si="56"/>
        <v>0.50137281972918157</v>
      </c>
      <c r="BE56" s="297">
        <f t="shared" ca="1" si="57"/>
        <v>0.49725357589416036</v>
      </c>
      <c r="BF56" s="297">
        <f t="shared" ca="1" si="58"/>
        <v>0</v>
      </c>
      <c r="BG56" s="297">
        <f t="shared" ca="1" si="59"/>
        <v>0</v>
      </c>
      <c r="BH56" s="298">
        <f t="shared" ca="1" si="60"/>
        <v>0</v>
      </c>
    </row>
    <row r="57" spans="1:60" ht="13.5" thickBot="1" x14ac:dyDescent="0.25">
      <c r="A57" s="618">
        <v>2040</v>
      </c>
      <c r="B57" s="814">
        <f t="shared" si="78"/>
        <v>163848.29</v>
      </c>
      <c r="C57" s="815">
        <f t="shared" si="78"/>
        <v>3964.27</v>
      </c>
      <c r="D57" s="815">
        <f t="shared" si="78"/>
        <v>9834.2999999999993</v>
      </c>
      <c r="E57" s="815">
        <f t="shared" si="78"/>
        <v>197911.66</v>
      </c>
      <c r="F57" s="815">
        <f t="shared" si="78"/>
        <v>75081.81</v>
      </c>
      <c r="G57" s="816">
        <f t="shared" si="78"/>
        <v>1000000</v>
      </c>
      <c r="H57" s="781">
        <f t="shared" si="79"/>
        <v>1</v>
      </c>
      <c r="I57" s="782">
        <f t="shared" si="79"/>
        <v>1</v>
      </c>
      <c r="J57" s="782">
        <f t="shared" si="79"/>
        <v>1</v>
      </c>
      <c r="K57" s="782">
        <f t="shared" si="79"/>
        <v>1</v>
      </c>
      <c r="L57" s="782">
        <f t="shared" si="79"/>
        <v>1</v>
      </c>
      <c r="M57" s="783">
        <f t="shared" si="79"/>
        <v>1</v>
      </c>
      <c r="N57" s="775">
        <f t="shared" si="28"/>
        <v>8341.1224518775671</v>
      </c>
      <c r="O57" s="776">
        <f t="shared" si="29"/>
        <v>7237.0136529531464</v>
      </c>
      <c r="P57" s="776">
        <f t="shared" si="30"/>
        <v>6526.5873688690453</v>
      </c>
      <c r="Q57" s="776">
        <f t="shared" si="31"/>
        <v>9700.7012579276852</v>
      </c>
      <c r="R57" s="776">
        <f t="shared" si="32"/>
        <v>8410.1902439236819</v>
      </c>
      <c r="S57" s="777">
        <f t="shared" si="33"/>
        <v>67599.230550625085</v>
      </c>
      <c r="T57" s="735">
        <f t="shared" si="61"/>
        <v>1104.1087989244206</v>
      </c>
      <c r="U57" s="619">
        <f t="shared" si="62"/>
        <v>1814.5350830085217</v>
      </c>
      <c r="V57" s="619">
        <f t="shared" si="63"/>
        <v>-1359.5788060501181</v>
      </c>
      <c r="W57" s="619">
        <f t="shared" si="64"/>
        <v>-69.067792046114846</v>
      </c>
      <c r="X57" s="620">
        <f t="shared" si="65"/>
        <v>-59258.108098747514</v>
      </c>
      <c r="Y57" s="621">
        <f ca="1">IF(AND(Y$22=TRUE,INDEX(CDRANGE_CLS1,MATCH($A57,$A$24:$A$67,0),MATCH(Y$20,$B$20:$G$20,0))&lt;$D$6/OPDAYS_Cls1),86,payback(C57,T57,disc_rate/12,85))</f>
        <v>4</v>
      </c>
      <c r="Z57" s="622">
        <f ca="1">IF(AND(Z$22=TRUE,INDEX(CDRANGE_CLS1,MATCH($A57,$A$24:$A$67,0),MATCH(Z$20,$B$20:$G$20,0))&lt;$D$6/OPDAYS_Cls1),86,payback(D57,U57,disc_rate/12,85))</f>
        <v>6</v>
      </c>
      <c r="AA57" s="622">
        <f>IF(AND(AA$22=TRUE,INDEX(CDRANGE_CLS1,MATCH($A57,$A$24:$A$67,0),MATCH(AA$20,$B$20:$G$20,0))&lt;$D$6/OPDAYS_Cls1),86,payback(E57,V57,disc_rate/12,85))</f>
        <v>86</v>
      </c>
      <c r="AB57" s="622">
        <f ca="1">IF(AND(AB$22=TRUE,INDEX(CDRANGE_CLS1,MATCH($A57,$A$24:$A$67,0),MATCH(AB$20,$B$20:$G$20,0))&lt;$D$6/OPDAYS_Cls1),86,payback(F57,W57,disc_rate/12,85))</f>
        <v>86</v>
      </c>
      <c r="AC57" s="623">
        <f ca="1">IF(AND(AC$22=TRUE,INDEX(CDRANGE_CLS1,MATCH($A57,$A$24:$A$67,0),MATCH(AC$20,$B$20:$G$20,0))&lt;$D$6/OPDAYS_Cls1),86,payback(G57,X57,disc_rate/12,85))</f>
        <v>86</v>
      </c>
      <c r="AD57" s="624">
        <f t="shared" si="35"/>
        <v>0</v>
      </c>
      <c r="AE57" s="625">
        <f t="shared" si="36"/>
        <v>0</v>
      </c>
      <c r="AF57" s="625">
        <f t="shared" si="37"/>
        <v>0</v>
      </c>
      <c r="AG57" s="625">
        <f t="shared" si="38"/>
        <v>0</v>
      </c>
      <c r="AH57" s="626">
        <f t="shared" si="39"/>
        <v>0</v>
      </c>
      <c r="AI57" s="1155">
        <f t="shared" si="40"/>
        <v>0.49999164928907602</v>
      </c>
      <c r="AJ57" s="1156">
        <f t="shared" si="41"/>
        <v>0.49999164928907602</v>
      </c>
      <c r="AK57" s="1156">
        <f t="shared" si="42"/>
        <v>0.49999164928907602</v>
      </c>
      <c r="AL57" s="1156">
        <f t="shared" si="43"/>
        <v>0.49999164928907602</v>
      </c>
      <c r="AM57" s="1157">
        <f t="shared" si="44"/>
        <v>0</v>
      </c>
      <c r="AN57" s="630">
        <f t="shared" si="66"/>
        <v>0.99837524801921451</v>
      </c>
      <c r="AO57" s="628">
        <f t="shared" si="67"/>
        <v>0.99004297920731643</v>
      </c>
      <c r="AP57" s="628">
        <f t="shared" si="68"/>
        <v>1.7373455403959848E-2</v>
      </c>
      <c r="AQ57" s="628">
        <f t="shared" si="69"/>
        <v>0.55806037029611311</v>
      </c>
      <c r="AR57" s="629">
        <f t="shared" si="70"/>
        <v>0</v>
      </c>
      <c r="AS57" s="624">
        <f t="shared" ca="1" si="46"/>
        <v>0.99998329857815205</v>
      </c>
      <c r="AT57" s="625">
        <f t="shared" ca="1" si="47"/>
        <v>0.99998329857815205</v>
      </c>
      <c r="AU57" s="625">
        <f t="shared" si="48"/>
        <v>0</v>
      </c>
      <c r="AV57" s="625">
        <f t="shared" ca="1" si="49"/>
        <v>0</v>
      </c>
      <c r="AW57" s="626">
        <f t="shared" ca="1" si="50"/>
        <v>0</v>
      </c>
      <c r="AX57" s="624">
        <f t="shared" ca="1" si="51"/>
        <v>0.99835857373303483</v>
      </c>
      <c r="AY57" s="625">
        <f t="shared" ca="1" si="52"/>
        <v>0.99002644408187312</v>
      </c>
      <c r="AZ57" s="625">
        <f t="shared" si="53"/>
        <v>0</v>
      </c>
      <c r="BA57" s="625">
        <f t="shared" ca="1" si="71"/>
        <v>0</v>
      </c>
      <c r="BB57" s="626">
        <f t="shared" ca="1" si="72"/>
        <v>0</v>
      </c>
      <c r="BC57" s="624">
        <f t="shared" ca="1" si="73"/>
        <v>1.6414262669651736E-3</v>
      </c>
      <c r="BD57" s="625">
        <f t="shared" ca="1" si="56"/>
        <v>0.50127104801945399</v>
      </c>
      <c r="BE57" s="625">
        <f t="shared" ca="1" si="57"/>
        <v>0.49708752571358084</v>
      </c>
      <c r="BF57" s="625">
        <f t="shared" ca="1" si="58"/>
        <v>0</v>
      </c>
      <c r="BG57" s="625">
        <f t="shared" ca="1" si="59"/>
        <v>0</v>
      </c>
      <c r="BH57" s="626">
        <f t="shared" ca="1" si="60"/>
        <v>0</v>
      </c>
    </row>
    <row r="58" spans="1:60" x14ac:dyDescent="0.2">
      <c r="A58" s="318">
        <v>2041</v>
      </c>
      <c r="B58" s="817">
        <f t="shared" si="78"/>
        <v>163848.29</v>
      </c>
      <c r="C58" s="818">
        <f t="shared" si="78"/>
        <v>4463.9399999999996</v>
      </c>
      <c r="D58" s="818">
        <f t="shared" si="78"/>
        <v>10113.69</v>
      </c>
      <c r="E58" s="818">
        <f t="shared" si="78"/>
        <v>178553.76</v>
      </c>
      <c r="F58" s="818">
        <f t="shared" si="78"/>
        <v>68896.100000000006</v>
      </c>
      <c r="G58" s="819">
        <f t="shared" si="78"/>
        <v>1000000</v>
      </c>
      <c r="H58" s="781">
        <f t="shared" si="79"/>
        <v>1</v>
      </c>
      <c r="I58" s="782">
        <f t="shared" si="79"/>
        <v>1</v>
      </c>
      <c r="J58" s="782">
        <f t="shared" si="79"/>
        <v>1</v>
      </c>
      <c r="K58" s="782">
        <f t="shared" si="79"/>
        <v>1</v>
      </c>
      <c r="L58" s="782">
        <f t="shared" si="79"/>
        <v>1</v>
      </c>
      <c r="M58" s="783">
        <f t="shared" si="79"/>
        <v>1</v>
      </c>
      <c r="N58" s="631">
        <f t="shared" si="28"/>
        <v>8394.4225493478662</v>
      </c>
      <c r="O58" s="632">
        <f t="shared" si="29"/>
        <v>7122.9899840028493</v>
      </c>
      <c r="P58" s="632">
        <f t="shared" si="30"/>
        <v>6351.2832087509069</v>
      </c>
      <c r="Q58" s="632">
        <f t="shared" si="31"/>
        <v>8883.8979334412306</v>
      </c>
      <c r="R58" s="632">
        <f t="shared" si="32"/>
        <v>7903.6525614555658</v>
      </c>
      <c r="S58" s="745">
        <f t="shared" si="33"/>
        <v>68031.447519132271</v>
      </c>
      <c r="T58" s="736">
        <f t="shared" si="61"/>
        <v>1271.4325653450169</v>
      </c>
      <c r="U58" s="632">
        <f t="shared" si="62"/>
        <v>2043.1393405969593</v>
      </c>
      <c r="V58" s="632">
        <f t="shared" si="63"/>
        <v>-489.47538409336448</v>
      </c>
      <c r="W58" s="632">
        <f t="shared" si="64"/>
        <v>490.76998789230038</v>
      </c>
      <c r="X58" s="633">
        <f t="shared" si="65"/>
        <v>-59637.024969784405</v>
      </c>
      <c r="Y58" s="634">
        <f ca="1">IF(AND(Y$22=TRUE,INDEX(CDRANGE_CLS1,MATCH($A58,$A$24:$A$67,0),MATCH(Y$20,$B$20:$G$20,0))&lt;$D$6/OPDAYS_Cls1),86,payback(C58,T58,disc_rate/12,85))</f>
        <v>4</v>
      </c>
      <c r="Z58" s="635">
        <f ca="1">IF(AND(Z$22=TRUE,INDEX(CDRANGE_CLS1,MATCH($A58,$A$24:$A$67,0),MATCH(Z$20,$B$20:$G$20,0))&lt;$D$6/OPDAYS_Cls1),86,payback(D58,U58,disc_rate/12,85))</f>
        <v>6</v>
      </c>
      <c r="AA58" s="635">
        <f>IF(AND(AA$22=TRUE,INDEX(CDRANGE_CLS1,MATCH($A58,$A$24:$A$67,0),MATCH(AA$20,$B$20:$G$20,0))&lt;$D$6/OPDAYS_Cls1),86,payback(E58,V58,disc_rate/12,85))</f>
        <v>86</v>
      </c>
      <c r="AB58" s="635">
        <f ca="1">IF(AND(AB$22=TRUE,INDEX(CDRANGE_CLS1,MATCH($A58,$A$24:$A$67,0),MATCH(AB$20,$B$20:$G$20,0))&lt;$D$6/OPDAYS_Cls1),86,payback(F58,W58,disc_rate/12,85))</f>
        <v>86</v>
      </c>
      <c r="AC58" s="636">
        <f ca="1">IF(AND(AC$22=TRUE,INDEX(CDRANGE_CLS1,MATCH($A58,$A$24:$A$67,0),MATCH(AC$20,$B$20:$G$20,0))&lt;$D$6/OPDAYS_Cls1),86,payback(G58,X58,disc_rate/12,85))</f>
        <v>86</v>
      </c>
      <c r="AD58" s="637">
        <f t="shared" si="35"/>
        <v>0</v>
      </c>
      <c r="AE58" s="638">
        <f t="shared" si="36"/>
        <v>0</v>
      </c>
      <c r="AF58" s="638">
        <f t="shared" si="37"/>
        <v>0</v>
      </c>
      <c r="AG58" s="638">
        <f t="shared" si="38"/>
        <v>0</v>
      </c>
      <c r="AH58" s="639">
        <f t="shared" si="39"/>
        <v>0</v>
      </c>
      <c r="AI58" s="1149">
        <f t="shared" si="40"/>
        <v>0.4999969279126989</v>
      </c>
      <c r="AJ58" s="1150">
        <f t="shared" si="41"/>
        <v>0.4999969279126989</v>
      </c>
      <c r="AK58" s="1150">
        <f t="shared" si="42"/>
        <v>0.4999969279126989</v>
      </c>
      <c r="AL58" s="1150">
        <f t="shared" si="43"/>
        <v>0.4999969279126989</v>
      </c>
      <c r="AM58" s="1151">
        <f t="shared" si="44"/>
        <v>0</v>
      </c>
      <c r="AN58" s="643">
        <f t="shared" si="66"/>
        <v>0.99794030588200489</v>
      </c>
      <c r="AO58" s="641">
        <f t="shared" si="67"/>
        <v>0.98947222055290951</v>
      </c>
      <c r="AP58" s="641">
        <f t="shared" si="68"/>
        <v>3.6928663562474706E-2</v>
      </c>
      <c r="AQ58" s="641">
        <f t="shared" si="69"/>
        <v>0.6119300285186503</v>
      </c>
      <c r="AR58" s="642">
        <f t="shared" si="70"/>
        <v>0</v>
      </c>
      <c r="AS58" s="637">
        <f t="shared" ca="1" si="46"/>
        <v>0.99999385582539779</v>
      </c>
      <c r="AT58" s="638">
        <f t="shared" ca="1" si="47"/>
        <v>0.99999385582539779</v>
      </c>
      <c r="AU58" s="638">
        <f t="shared" si="48"/>
        <v>0</v>
      </c>
      <c r="AV58" s="638">
        <f t="shared" ca="1" si="49"/>
        <v>0</v>
      </c>
      <c r="AW58" s="639">
        <f t="shared" ca="1" si="50"/>
        <v>0</v>
      </c>
      <c r="AX58" s="637">
        <f t="shared" ca="1" si="51"/>
        <v>0.99793417436252296</v>
      </c>
      <c r="AY58" s="638">
        <f t="shared" ca="1" si="52"/>
        <v>0.98946614106282238</v>
      </c>
      <c r="AZ58" s="638">
        <f t="shared" si="53"/>
        <v>0</v>
      </c>
      <c r="BA58" s="638">
        <f t="shared" ca="1" si="71"/>
        <v>0</v>
      </c>
      <c r="BB58" s="639">
        <f t="shared" ca="1" si="72"/>
        <v>0</v>
      </c>
      <c r="BC58" s="637">
        <f t="shared" ca="1" si="73"/>
        <v>2.0658256374770367E-3</v>
      </c>
      <c r="BD58" s="638">
        <f t="shared" ca="1" si="56"/>
        <v>0.50109311578099092</v>
      </c>
      <c r="BE58" s="638">
        <f t="shared" ca="1" si="57"/>
        <v>0.49684105858153205</v>
      </c>
      <c r="BF58" s="638">
        <f t="shared" ca="1" si="58"/>
        <v>0</v>
      </c>
      <c r="BG58" s="638">
        <f t="shared" ca="1" si="59"/>
        <v>0</v>
      </c>
      <c r="BH58" s="639">
        <f t="shared" ca="1" si="60"/>
        <v>0</v>
      </c>
    </row>
    <row r="59" spans="1:60" x14ac:dyDescent="0.2">
      <c r="A59" s="317">
        <v>2042</v>
      </c>
      <c r="B59" s="820">
        <f t="shared" si="78"/>
        <v>163848.29</v>
      </c>
      <c r="C59" s="821">
        <f t="shared" si="78"/>
        <v>5059.76</v>
      </c>
      <c r="D59" s="821">
        <f t="shared" si="78"/>
        <v>10446.85</v>
      </c>
      <c r="E59" s="821">
        <f t="shared" si="78"/>
        <v>155470.92000000001</v>
      </c>
      <c r="F59" s="821">
        <f t="shared" si="78"/>
        <v>61520.09</v>
      </c>
      <c r="G59" s="822">
        <f t="shared" si="78"/>
        <v>1000000</v>
      </c>
      <c r="H59" s="781">
        <f t="shared" si="79"/>
        <v>1</v>
      </c>
      <c r="I59" s="782">
        <f t="shared" si="79"/>
        <v>1</v>
      </c>
      <c r="J59" s="782">
        <f t="shared" si="79"/>
        <v>1</v>
      </c>
      <c r="K59" s="782">
        <f t="shared" si="79"/>
        <v>1</v>
      </c>
      <c r="L59" s="782">
        <f t="shared" si="79"/>
        <v>1</v>
      </c>
      <c r="M59" s="783">
        <f t="shared" si="79"/>
        <v>1</v>
      </c>
      <c r="N59" s="275">
        <f t="shared" si="28"/>
        <v>8517.2026469091998</v>
      </c>
      <c r="O59" s="276">
        <f t="shared" si="29"/>
        <v>7042.3746209122301</v>
      </c>
      <c r="P59" s="276">
        <f t="shared" si="30"/>
        <v>6199.9153258032466</v>
      </c>
      <c r="Q59" s="276">
        <f t="shared" si="31"/>
        <v>7897.9812437435057</v>
      </c>
      <c r="R59" s="276">
        <f t="shared" si="32"/>
        <v>7382.1874502746832</v>
      </c>
      <c r="S59" s="278">
        <f t="shared" si="33"/>
        <v>69026.68750337149</v>
      </c>
      <c r="T59" s="734">
        <f t="shared" si="61"/>
        <v>1474.8280259969697</v>
      </c>
      <c r="U59" s="290">
        <f t="shared" si="62"/>
        <v>2317.2873211059532</v>
      </c>
      <c r="V59" s="290">
        <f t="shared" si="63"/>
        <v>619.22140316569403</v>
      </c>
      <c r="W59" s="290">
        <f t="shared" si="64"/>
        <v>1135.0151966345165</v>
      </c>
      <c r="X59" s="291">
        <f t="shared" si="65"/>
        <v>-60509.484856462288</v>
      </c>
      <c r="Y59" s="293">
        <f ca="1">IF(AND(Y$22=TRUE,INDEX(CDRANGE_CLS1,MATCH($A59,$A$24:$A$67,0),MATCH(Y$20,$B$20:$G$20,0))&lt;$D$6/OPDAYS_Cls1),86,payback(C59,T59,disc_rate/12,85))</f>
        <v>4</v>
      </c>
      <c r="Z59" s="294">
        <f ca="1">IF(AND(Z$22=TRUE,INDEX(CDRANGE_CLS1,MATCH($A59,$A$24:$A$67,0),MATCH(Z$20,$B$20:$G$20,0))&lt;$D$6/OPDAYS_Cls1),86,payback(D59,U59,disc_rate/12,85))</f>
        <v>5</v>
      </c>
      <c r="AA59" s="294">
        <f>IF(AND(AA$22=TRUE,INDEX(CDRANGE_CLS1,MATCH($A59,$A$24:$A$67,0),MATCH(AA$20,$B$20:$G$20,0))&lt;$D$6/OPDAYS_Cls1),86,payback(E59,V59,disc_rate/12,85))</f>
        <v>86</v>
      </c>
      <c r="AB59" s="294">
        <f ca="1">IF(AND(AB$22=TRUE,INDEX(CDRANGE_CLS1,MATCH($A59,$A$24:$A$67,0),MATCH(AB$20,$B$20:$G$20,0))&lt;$D$6/OPDAYS_Cls1),86,payback(F59,W59,disc_rate/12,85))</f>
        <v>67</v>
      </c>
      <c r="AC59" s="592">
        <f ca="1">IF(AND(AC$22=TRUE,INDEX(CDRANGE_CLS1,MATCH($A59,$A$24:$A$67,0),MATCH(AC$20,$B$20:$G$20,0))&lt;$D$6/OPDAYS_Cls1),86,payback(G59,X59,disc_rate/12,85))</f>
        <v>86</v>
      </c>
      <c r="AD59" s="296">
        <f t="shared" si="35"/>
        <v>0</v>
      </c>
      <c r="AE59" s="297">
        <f t="shared" si="36"/>
        <v>0</v>
      </c>
      <c r="AF59" s="297">
        <f t="shared" si="37"/>
        <v>0</v>
      </c>
      <c r="AG59" s="297">
        <f t="shared" si="38"/>
        <v>0</v>
      </c>
      <c r="AH59" s="298">
        <f t="shared" si="39"/>
        <v>0</v>
      </c>
      <c r="AI59" s="1143">
        <f t="shared" si="40"/>
        <v>0.49999886983785102</v>
      </c>
      <c r="AJ59" s="1144">
        <f t="shared" si="41"/>
        <v>0.49999886983785102</v>
      </c>
      <c r="AK59" s="1144">
        <f t="shared" si="42"/>
        <v>0.49999886983785102</v>
      </c>
      <c r="AL59" s="1144">
        <f t="shared" si="43"/>
        <v>0.49999886983785102</v>
      </c>
      <c r="AM59" s="1152">
        <f t="shared" si="44"/>
        <v>0</v>
      </c>
      <c r="AN59" s="299">
        <f t="shared" si="66"/>
        <v>0.99735455691320851</v>
      </c>
      <c r="AO59" s="300">
        <f t="shared" si="67"/>
        <v>0.98877116771457452</v>
      </c>
      <c r="AP59" s="300">
        <f t="shared" si="68"/>
        <v>8.2003748931876119E-2</v>
      </c>
      <c r="AQ59" s="300">
        <f t="shared" si="69"/>
        <v>0.67597145452798069</v>
      </c>
      <c r="AR59" s="598">
        <f t="shared" si="70"/>
        <v>0</v>
      </c>
      <c r="AS59" s="296">
        <f t="shared" ca="1" si="46"/>
        <v>0.99999773967570205</v>
      </c>
      <c r="AT59" s="297">
        <f t="shared" ca="1" si="47"/>
        <v>0.99999773967570205</v>
      </c>
      <c r="AU59" s="297">
        <f t="shared" si="48"/>
        <v>0</v>
      </c>
      <c r="AV59" s="297">
        <f t="shared" ca="1" si="49"/>
        <v>4.6980719684805664E-3</v>
      </c>
      <c r="AW59" s="298">
        <f t="shared" ca="1" si="50"/>
        <v>0</v>
      </c>
      <c r="AX59" s="296">
        <f t="shared" ca="1" si="51"/>
        <v>0.99735230256846985</v>
      </c>
      <c r="AY59" s="297">
        <f t="shared" ca="1" si="52"/>
        <v>0.98876893277107902</v>
      </c>
      <c r="AZ59" s="297">
        <f t="shared" si="53"/>
        <v>0</v>
      </c>
      <c r="BA59" s="297">
        <f t="shared" ca="1" si="71"/>
        <v>3.1757625420109417E-3</v>
      </c>
      <c r="BB59" s="298">
        <f t="shared" ca="1" si="72"/>
        <v>0</v>
      </c>
      <c r="BC59" s="296">
        <f t="shared" ca="1" si="73"/>
        <v>2.6476974315300383E-3</v>
      </c>
      <c r="BD59" s="297">
        <f t="shared" ca="1" si="56"/>
        <v>0.50003172804157248</v>
      </c>
      <c r="BE59" s="297">
        <f t="shared" ca="1" si="57"/>
        <v>0.49572837683743315</v>
      </c>
      <c r="BF59" s="297">
        <f t="shared" ca="1" si="58"/>
        <v>0</v>
      </c>
      <c r="BG59" s="297">
        <f t="shared" ca="1" si="59"/>
        <v>1.5921976894643108E-3</v>
      </c>
      <c r="BH59" s="298">
        <f t="shared" ca="1" si="60"/>
        <v>0</v>
      </c>
    </row>
    <row r="60" spans="1:60" x14ac:dyDescent="0.2">
      <c r="A60" s="317">
        <v>2043</v>
      </c>
      <c r="B60" s="820">
        <f t="shared" si="78"/>
        <v>163848.29</v>
      </c>
      <c r="C60" s="821">
        <f t="shared" si="78"/>
        <v>5693.02</v>
      </c>
      <c r="D60" s="821">
        <f t="shared" si="78"/>
        <v>10800.93</v>
      </c>
      <c r="E60" s="821">
        <f t="shared" si="78"/>
        <v>130937.86</v>
      </c>
      <c r="F60" s="821">
        <f t="shared" si="78"/>
        <v>53680.68</v>
      </c>
      <c r="G60" s="822">
        <f t="shared" si="78"/>
        <v>1000000</v>
      </c>
      <c r="H60" s="781">
        <f t="shared" si="79"/>
        <v>1</v>
      </c>
      <c r="I60" s="782">
        <f t="shared" si="79"/>
        <v>1</v>
      </c>
      <c r="J60" s="782">
        <f t="shared" si="79"/>
        <v>1</v>
      </c>
      <c r="K60" s="782">
        <f t="shared" si="79"/>
        <v>1</v>
      </c>
      <c r="L60" s="782">
        <f t="shared" si="79"/>
        <v>1</v>
      </c>
      <c r="M60" s="783">
        <f t="shared" si="79"/>
        <v>1</v>
      </c>
      <c r="N60" s="275">
        <f t="shared" si="28"/>
        <v>8568.8413912067026</v>
      </c>
      <c r="O60" s="276">
        <f t="shared" si="29"/>
        <v>6897.6143030874</v>
      </c>
      <c r="P60" s="276">
        <f t="shared" si="30"/>
        <v>5995.948220289999</v>
      </c>
      <c r="Q60" s="276">
        <f t="shared" si="31"/>
        <v>6818.7502647319543</v>
      </c>
      <c r="R60" s="276">
        <f t="shared" si="32"/>
        <v>6886.0967849489498</v>
      </c>
      <c r="S60" s="278">
        <f t="shared" si="33"/>
        <v>69445.332629115335</v>
      </c>
      <c r="T60" s="734">
        <f t="shared" si="61"/>
        <v>1671.2270881193026</v>
      </c>
      <c r="U60" s="290">
        <f t="shared" si="62"/>
        <v>2572.8931709167036</v>
      </c>
      <c r="V60" s="290">
        <f t="shared" si="63"/>
        <v>1750.0911264747483</v>
      </c>
      <c r="W60" s="290">
        <f t="shared" si="64"/>
        <v>1682.7446062577528</v>
      </c>
      <c r="X60" s="291">
        <f t="shared" si="65"/>
        <v>-60876.491237908631</v>
      </c>
      <c r="Y60" s="293">
        <f ca="1">IF(AND(Y$22=TRUE,INDEX(CDRANGE_CLS1,MATCH($A60,$A$24:$A$67,0),MATCH(Y$20,$B$20:$G$20,0))&lt;$D$6/OPDAYS_Cls1),86,payback(C60,T60,disc_rate/12,85))</f>
        <v>4</v>
      </c>
      <c r="Z60" s="294">
        <f ca="1">IF(AND(Z$22=TRUE,INDEX(CDRANGE_CLS1,MATCH($A60,$A$24:$A$67,0),MATCH(Z$20,$B$20:$G$20,0))&lt;$D$6/OPDAYS_Cls1),86,payback(D60,U60,disc_rate/12,85))</f>
        <v>5</v>
      </c>
      <c r="AA60" s="294">
        <f>IF(AND(AA$22=TRUE,INDEX(CDRANGE_CLS1,MATCH($A60,$A$24:$A$67,0),MATCH(AA$20,$B$20:$G$20,0))&lt;$D$6/OPDAYS_Cls1),86,payback(E60,V60,disc_rate/12,85))</f>
        <v>86</v>
      </c>
      <c r="AB60" s="294">
        <f ca="1">IF(AND(AB$22=TRUE,INDEX(CDRANGE_CLS1,MATCH($A60,$A$24:$A$67,0),MATCH(AB$20,$B$20:$G$20,0))&lt;$D$6/OPDAYS_Cls1),86,payback(F60,W60,disc_rate/12,85))</f>
        <v>36</v>
      </c>
      <c r="AC60" s="592">
        <f ca="1">IF(AND(AC$22=TRUE,INDEX(CDRANGE_CLS1,MATCH($A60,$A$24:$A$67,0),MATCH(AC$20,$B$20:$G$20,0))&lt;$D$6/OPDAYS_Cls1),86,payback(G60,X60,disc_rate/12,85))</f>
        <v>86</v>
      </c>
      <c r="AD60" s="296">
        <f t="shared" si="35"/>
        <v>0</v>
      </c>
      <c r="AE60" s="297">
        <f t="shared" si="36"/>
        <v>0</v>
      </c>
      <c r="AF60" s="297">
        <f t="shared" si="37"/>
        <v>0</v>
      </c>
      <c r="AG60" s="297">
        <f t="shared" si="38"/>
        <v>0</v>
      </c>
      <c r="AH60" s="298">
        <f t="shared" si="39"/>
        <v>0</v>
      </c>
      <c r="AI60" s="1143">
        <f t="shared" si="40"/>
        <v>0.49999958423598612</v>
      </c>
      <c r="AJ60" s="1144">
        <f t="shared" si="41"/>
        <v>0.49999958423598612</v>
      </c>
      <c r="AK60" s="1144">
        <f t="shared" si="42"/>
        <v>0.49999958423598612</v>
      </c>
      <c r="AL60" s="1144">
        <f t="shared" si="43"/>
        <v>0.49999958423598612</v>
      </c>
      <c r="AM60" s="1152">
        <f t="shared" si="44"/>
        <v>0</v>
      </c>
      <c r="AN60" s="299">
        <f t="shared" si="66"/>
        <v>0.99665211068934034</v>
      </c>
      <c r="AO60" s="300">
        <f t="shared" si="67"/>
        <v>0.98800176201718637</v>
      </c>
      <c r="AP60" s="300">
        <f t="shared" si="68"/>
        <v>0.16965957722068958</v>
      </c>
      <c r="AQ60" s="300">
        <f t="shared" si="69"/>
        <v>0.7421824229456484</v>
      </c>
      <c r="AR60" s="598">
        <f t="shared" si="70"/>
        <v>0</v>
      </c>
      <c r="AS60" s="296">
        <f t="shared" ca="1" si="46"/>
        <v>0.99999916847197223</v>
      </c>
      <c r="AT60" s="297">
        <f t="shared" ca="1" si="47"/>
        <v>0.99999916847197223</v>
      </c>
      <c r="AU60" s="297">
        <f t="shared" si="48"/>
        <v>0</v>
      </c>
      <c r="AV60" s="297">
        <f t="shared" ca="1" si="49"/>
        <v>0.22440527186493558</v>
      </c>
      <c r="AW60" s="298">
        <f t="shared" ca="1" si="50"/>
        <v>0</v>
      </c>
      <c r="AX60" s="296">
        <f t="shared" ca="1" si="51"/>
        <v>0.99665128194517638</v>
      </c>
      <c r="AY60" s="297">
        <f t="shared" ca="1" si="52"/>
        <v>0.98800094046602982</v>
      </c>
      <c r="AZ60" s="297">
        <f t="shared" si="53"/>
        <v>0</v>
      </c>
      <c r="BA60" s="297">
        <f t="shared" ca="1" si="71"/>
        <v>0.16654964839449485</v>
      </c>
      <c r="BB60" s="298">
        <f t="shared" ca="1" si="72"/>
        <v>0</v>
      </c>
      <c r="BC60" s="296">
        <f t="shared" ca="1" si="73"/>
        <v>3.3487180548236184E-3</v>
      </c>
      <c r="BD60" s="297">
        <f t="shared" ca="1" si="56"/>
        <v>0.4617482865199129</v>
      </c>
      <c r="BE60" s="297">
        <f t="shared" ca="1" si="57"/>
        <v>0.45774058550335239</v>
      </c>
      <c r="BF60" s="297">
        <f t="shared" ca="1" si="58"/>
        <v>0</v>
      </c>
      <c r="BG60" s="297">
        <f t="shared" ca="1" si="59"/>
        <v>7.716240992191116E-2</v>
      </c>
      <c r="BH60" s="298">
        <f t="shared" ca="1" si="60"/>
        <v>0</v>
      </c>
    </row>
    <row r="61" spans="1:60" x14ac:dyDescent="0.2">
      <c r="A61" s="317">
        <v>2044</v>
      </c>
      <c r="B61" s="820">
        <f t="shared" si="78"/>
        <v>163848.29</v>
      </c>
      <c r="C61" s="821">
        <f t="shared" si="78"/>
        <v>6288.84</v>
      </c>
      <c r="D61" s="821">
        <f t="shared" si="78"/>
        <v>11134.08</v>
      </c>
      <c r="E61" s="821">
        <f t="shared" si="78"/>
        <v>107855.01</v>
      </c>
      <c r="F61" s="821">
        <f t="shared" si="78"/>
        <v>46304.68</v>
      </c>
      <c r="G61" s="822">
        <f t="shared" si="78"/>
        <v>1000000</v>
      </c>
      <c r="H61" s="781">
        <f t="shared" si="79"/>
        <v>1</v>
      </c>
      <c r="I61" s="782">
        <f t="shared" si="79"/>
        <v>1</v>
      </c>
      <c r="J61" s="782">
        <f t="shared" si="79"/>
        <v>1</v>
      </c>
      <c r="K61" s="782">
        <f t="shared" si="79"/>
        <v>1</v>
      </c>
      <c r="L61" s="782">
        <f t="shared" si="79"/>
        <v>1</v>
      </c>
      <c r="M61" s="783">
        <f t="shared" si="79"/>
        <v>1</v>
      </c>
      <c r="N61" s="275">
        <f t="shared" si="28"/>
        <v>8635.8425958735224</v>
      </c>
      <c r="O61" s="276">
        <f t="shared" si="29"/>
        <v>6782.7019050503814</v>
      </c>
      <c r="P61" s="276">
        <f t="shared" si="30"/>
        <v>5830.391145225637</v>
      </c>
      <c r="Q61" s="276">
        <f t="shared" si="31"/>
        <v>5822.9250386384374</v>
      </c>
      <c r="R61" s="276">
        <f t="shared" si="32"/>
        <v>6447.9791873397689</v>
      </c>
      <c r="S61" s="278">
        <f t="shared" si="33"/>
        <v>69988.498959041332</v>
      </c>
      <c r="T61" s="734">
        <f t="shared" si="61"/>
        <v>1853.1406908231411</v>
      </c>
      <c r="U61" s="290">
        <f t="shared" si="62"/>
        <v>2805.4514506478854</v>
      </c>
      <c r="V61" s="290">
        <f t="shared" si="63"/>
        <v>2812.917557235085</v>
      </c>
      <c r="W61" s="290">
        <f t="shared" si="64"/>
        <v>2187.8634085337535</v>
      </c>
      <c r="X61" s="291">
        <f t="shared" si="65"/>
        <v>-61352.656363167807</v>
      </c>
      <c r="Y61" s="293">
        <f ca="1">IF(AND(Y$22=TRUE,INDEX(CDRANGE_CLS1,MATCH($A61,$A$24:$A$67,0),MATCH(Y$20,$B$20:$G$20,0))&lt;$D$6/OPDAYS_Cls1),86,payback(C61,T61,disc_rate/12,85))</f>
        <v>4</v>
      </c>
      <c r="Z61" s="294">
        <f ca="1">IF(AND(Z$22=TRUE,INDEX(CDRANGE_CLS1,MATCH($A61,$A$24:$A$67,0),MATCH(Z$20,$B$20:$G$20,0))&lt;$D$6/OPDAYS_Cls1),86,payback(D61,U61,disc_rate/12,85))</f>
        <v>5</v>
      </c>
      <c r="AA61" s="294">
        <f>IF(AND(AA$22=TRUE,INDEX(CDRANGE_CLS1,MATCH($A61,$A$24:$A$67,0),MATCH(AA$20,$B$20:$G$20,0))&lt;$D$6/OPDAYS_Cls1),86,payback(E61,V61,disc_rate/12,85))</f>
        <v>86</v>
      </c>
      <c r="AB61" s="294">
        <f ca="1">IF(AND(AB$22=TRUE,INDEX(CDRANGE_CLS1,MATCH($A61,$A$24:$A$67,0),MATCH(AB$20,$B$20:$G$20,0))&lt;$D$6/OPDAYS_Cls1),86,payback(F61,W61,disc_rate/12,85))</f>
        <v>23</v>
      </c>
      <c r="AC61" s="592">
        <f ca="1">IF(AND(AC$22=TRUE,INDEX(CDRANGE_CLS1,MATCH($A61,$A$24:$A$67,0),MATCH(AC$20,$B$20:$G$20,0))&lt;$D$6/OPDAYS_Cls1),86,payback(G61,X61,disc_rate/12,85))</f>
        <v>86</v>
      </c>
      <c r="AD61" s="296">
        <f t="shared" si="35"/>
        <v>0</v>
      </c>
      <c r="AE61" s="297">
        <f t="shared" si="36"/>
        <v>0</v>
      </c>
      <c r="AF61" s="297">
        <f t="shared" si="37"/>
        <v>0</v>
      </c>
      <c r="AG61" s="297">
        <f t="shared" si="38"/>
        <v>0</v>
      </c>
      <c r="AH61" s="298">
        <f t="shared" si="39"/>
        <v>0</v>
      </c>
      <c r="AI61" s="1143">
        <f t="shared" si="40"/>
        <v>0.4999998470488865</v>
      </c>
      <c r="AJ61" s="1144">
        <f t="shared" si="41"/>
        <v>0.4999998470488865</v>
      </c>
      <c r="AK61" s="1144">
        <f t="shared" si="42"/>
        <v>0.4999998470488865</v>
      </c>
      <c r="AL61" s="1144">
        <f t="shared" si="43"/>
        <v>0.4999998470488865</v>
      </c>
      <c r="AM61" s="1152">
        <f t="shared" si="44"/>
        <v>0</v>
      </c>
      <c r="AN61" s="299">
        <f t="shared" si="66"/>
        <v>0.99591618122616232</v>
      </c>
      <c r="AO61" s="300">
        <f t="shared" si="67"/>
        <v>0.98725499544887063</v>
      </c>
      <c r="AP61" s="300">
        <f t="shared" si="68"/>
        <v>0.30010176454619564</v>
      </c>
      <c r="AQ61" s="300">
        <f t="shared" si="69"/>
        <v>0.80103386806370369</v>
      </c>
      <c r="AR61" s="598">
        <f t="shared" si="70"/>
        <v>0</v>
      </c>
      <c r="AS61" s="296">
        <f t="shared" ca="1" si="46"/>
        <v>0.99999969409777301</v>
      </c>
      <c r="AT61" s="297">
        <f t="shared" ca="1" si="47"/>
        <v>0.99999969409777301</v>
      </c>
      <c r="AU61" s="297">
        <f t="shared" si="48"/>
        <v>0</v>
      </c>
      <c r="AV61" s="297">
        <f t="shared" ca="1" si="49"/>
        <v>0.58417108059033218</v>
      </c>
      <c r="AW61" s="298">
        <f t="shared" ca="1" si="50"/>
        <v>0</v>
      </c>
      <c r="AX61" s="296">
        <f t="shared" ca="1" si="51"/>
        <v>0.99591587657318459</v>
      </c>
      <c r="AY61" s="297">
        <f t="shared" ca="1" si="52"/>
        <v>0.98725469344536887</v>
      </c>
      <c r="AZ61" s="297">
        <f t="shared" si="53"/>
        <v>0</v>
      </c>
      <c r="BA61" s="297">
        <f t="shared" ca="1" si="71"/>
        <v>0.46794082029622736</v>
      </c>
      <c r="BB61" s="298">
        <f t="shared" ca="1" si="72"/>
        <v>0</v>
      </c>
      <c r="BC61" s="296">
        <f t="shared" ca="1" si="73"/>
        <v>4.0841234268154114E-3</v>
      </c>
      <c r="BD61" s="297">
        <f t="shared" ca="1" si="56"/>
        <v>0.40465253318542893</v>
      </c>
      <c r="BE61" s="297">
        <f t="shared" ca="1" si="57"/>
        <v>0.40113339088084704</v>
      </c>
      <c r="BF61" s="297">
        <f t="shared" ca="1" si="58"/>
        <v>0</v>
      </c>
      <c r="BG61" s="297">
        <f t="shared" ca="1" si="59"/>
        <v>0.19012995250690873</v>
      </c>
      <c r="BH61" s="298">
        <f t="shared" ca="1" si="60"/>
        <v>0</v>
      </c>
    </row>
    <row r="62" spans="1:60" ht="13.5" thickBot="1" x14ac:dyDescent="0.25">
      <c r="A62" s="302">
        <v>2045</v>
      </c>
      <c r="B62" s="823">
        <f t="shared" si="78"/>
        <v>163848.29</v>
      </c>
      <c r="C62" s="824">
        <f t="shared" si="78"/>
        <v>6788.51</v>
      </c>
      <c r="D62" s="824">
        <f t="shared" si="78"/>
        <v>11413.47</v>
      </c>
      <c r="E62" s="824">
        <f t="shared" si="78"/>
        <v>88497.12</v>
      </c>
      <c r="F62" s="824">
        <f t="shared" si="78"/>
        <v>40118.959999999999</v>
      </c>
      <c r="G62" s="825">
        <f t="shared" si="78"/>
        <v>1000000</v>
      </c>
      <c r="H62" s="781">
        <f t="shared" si="79"/>
        <v>1</v>
      </c>
      <c r="I62" s="782">
        <f t="shared" si="79"/>
        <v>1</v>
      </c>
      <c r="J62" s="782">
        <f t="shared" si="79"/>
        <v>1</v>
      </c>
      <c r="K62" s="782">
        <f t="shared" si="79"/>
        <v>1</v>
      </c>
      <c r="L62" s="782">
        <f t="shared" si="79"/>
        <v>1</v>
      </c>
      <c r="M62" s="783">
        <f t="shared" si="79"/>
        <v>1</v>
      </c>
      <c r="N62" s="778">
        <f t="shared" si="28"/>
        <v>8754.4285033401902</v>
      </c>
      <c r="O62" s="779">
        <f t="shared" si="29"/>
        <v>6738.5765202605025</v>
      </c>
      <c r="P62" s="779">
        <f t="shared" si="30"/>
        <v>5741.1853032948593</v>
      </c>
      <c r="Q62" s="779">
        <f t="shared" si="31"/>
        <v>5010.49289945489</v>
      </c>
      <c r="R62" s="779">
        <f t="shared" si="32"/>
        <v>6080.9918462450541</v>
      </c>
      <c r="S62" s="780">
        <f t="shared" si="33"/>
        <v>70949.66302667628</v>
      </c>
      <c r="T62" s="737">
        <f t="shared" si="61"/>
        <v>2015.8519830796877</v>
      </c>
      <c r="U62" s="304">
        <f t="shared" si="62"/>
        <v>3013.2432000453309</v>
      </c>
      <c r="V62" s="304">
        <f t="shared" si="63"/>
        <v>3743.9356038853002</v>
      </c>
      <c r="W62" s="304">
        <f t="shared" si="64"/>
        <v>2673.4366570951361</v>
      </c>
      <c r="X62" s="305">
        <f t="shared" si="65"/>
        <v>-62195.23452333609</v>
      </c>
      <c r="Y62" s="307">
        <f ca="1">IF(AND(Y$22=TRUE,INDEX(CDRANGE_CLS1,MATCH($A62,$A$24:$A$67,0),MATCH(Y$20,$B$20:$G$20,0))&lt;$D$6/OPDAYS_Cls1),86,payback(C62,T62,disc_rate/12,85))</f>
        <v>4</v>
      </c>
      <c r="Z62" s="308">
        <f ca="1">IF(AND(Z$22=TRUE,INDEX(CDRANGE_CLS1,MATCH($A62,$A$24:$A$67,0),MATCH(Z$20,$B$20:$G$20,0))&lt;$D$6/OPDAYS_Cls1),86,payback(D62,U62,disc_rate/12,85))</f>
        <v>4</v>
      </c>
      <c r="AA62" s="308">
        <f>IF(AND(AA$22=TRUE,INDEX(CDRANGE_CLS1,MATCH($A62,$A$24:$A$67,0),MATCH(AA$20,$B$20:$G$20,0))&lt;$D$6/OPDAYS_Cls1),86,payback(E62,V62,disc_rate/12,85))</f>
        <v>86</v>
      </c>
      <c r="AB62" s="308">
        <f ca="1">IF(AND(AB$22=TRUE,INDEX(CDRANGE_CLS1,MATCH($A62,$A$24:$A$67,0),MATCH(AB$20,$B$20:$G$20,0))&lt;$D$6/OPDAYS_Cls1),86,payback(F62,W62,disc_rate/12,85))</f>
        <v>16</v>
      </c>
      <c r="AC62" s="593">
        <f ca="1">IF(AND(AC$22=TRUE,INDEX(CDRANGE_CLS1,MATCH($A62,$A$24:$A$67,0),MATCH(AC$20,$B$20:$G$20,0))&lt;$D$6/OPDAYS_Cls1),86,payback(G62,X62,disc_rate/12,85))</f>
        <v>86</v>
      </c>
      <c r="AD62" s="310">
        <f t="shared" si="35"/>
        <v>0</v>
      </c>
      <c r="AE62" s="311">
        <f t="shared" si="36"/>
        <v>0</v>
      </c>
      <c r="AF62" s="311">
        <f t="shared" si="37"/>
        <v>0</v>
      </c>
      <c r="AG62" s="311">
        <f t="shared" si="38"/>
        <v>0</v>
      </c>
      <c r="AH62" s="312">
        <f t="shared" si="39"/>
        <v>0</v>
      </c>
      <c r="AI62" s="1146">
        <f t="shared" si="40"/>
        <v>0.49999994373241896</v>
      </c>
      <c r="AJ62" s="1147">
        <f t="shared" si="41"/>
        <v>0.49999994373241896</v>
      </c>
      <c r="AK62" s="1147">
        <f t="shared" si="42"/>
        <v>0.49999994373241896</v>
      </c>
      <c r="AL62" s="1147">
        <f t="shared" si="43"/>
        <v>0.49999994373241896</v>
      </c>
      <c r="AM62" s="1153">
        <f t="shared" si="44"/>
        <v>0</v>
      </c>
      <c r="AN62" s="313">
        <f t="shared" si="66"/>
        <v>0.99524306094337711</v>
      </c>
      <c r="AO62" s="314">
        <f t="shared" si="67"/>
        <v>0.98661169819566086</v>
      </c>
      <c r="AP62" s="314">
        <f t="shared" si="68"/>
        <v>0.44470296460959913</v>
      </c>
      <c r="AQ62" s="314">
        <f t="shared" si="69"/>
        <v>0.84659075605965817</v>
      </c>
      <c r="AR62" s="599">
        <f t="shared" si="70"/>
        <v>0</v>
      </c>
      <c r="AS62" s="310">
        <f t="shared" ca="1" si="46"/>
        <v>0.99999988746483792</v>
      </c>
      <c r="AT62" s="311">
        <f t="shared" ca="1" si="47"/>
        <v>0.99999988746483792</v>
      </c>
      <c r="AU62" s="311">
        <f t="shared" si="48"/>
        <v>0</v>
      </c>
      <c r="AV62" s="311">
        <f t="shared" ca="1" si="49"/>
        <v>0.8131553697681857</v>
      </c>
      <c r="AW62" s="312">
        <f t="shared" ca="1" si="50"/>
        <v>0</v>
      </c>
      <c r="AX62" s="310">
        <f t="shared" ca="1" si="51"/>
        <v>0.99524294894353793</v>
      </c>
      <c r="AY62" s="311">
        <f t="shared" ca="1" si="52"/>
        <v>0.98661158716715347</v>
      </c>
      <c r="AZ62" s="311">
        <f t="shared" si="53"/>
        <v>0</v>
      </c>
      <c r="BA62" s="311">
        <f t="shared" ca="1" si="71"/>
        <v>0.68840981928601919</v>
      </c>
      <c r="BB62" s="312">
        <f t="shared" ca="1" si="72"/>
        <v>0</v>
      </c>
      <c r="BC62" s="310">
        <f t="shared" ca="1" si="73"/>
        <v>4.7570510564620694E-3</v>
      </c>
      <c r="BD62" s="311">
        <f t="shared" ca="1" si="56"/>
        <v>0.37094024994940017</v>
      </c>
      <c r="BE62" s="311">
        <f t="shared" ca="1" si="57"/>
        <v>0.36772322691182485</v>
      </c>
      <c r="BF62" s="311">
        <f t="shared" ca="1" si="58"/>
        <v>0</v>
      </c>
      <c r="BG62" s="311">
        <f t="shared" ca="1" si="59"/>
        <v>0.25657947208231296</v>
      </c>
      <c r="BH62" s="312">
        <f t="shared" ca="1" si="60"/>
        <v>0</v>
      </c>
    </row>
    <row r="63" spans="1:60" x14ac:dyDescent="0.2">
      <c r="A63" s="316">
        <v>2046</v>
      </c>
      <c r="B63" s="826">
        <f t="shared" si="78"/>
        <v>163848.29</v>
      </c>
      <c r="C63" s="827">
        <f t="shared" si="78"/>
        <v>7168.67</v>
      </c>
      <c r="D63" s="827">
        <f t="shared" si="78"/>
        <v>11626.04</v>
      </c>
      <c r="E63" s="827">
        <f t="shared" si="78"/>
        <v>73769.17</v>
      </c>
      <c r="F63" s="827">
        <f t="shared" si="78"/>
        <v>35412.720000000001</v>
      </c>
      <c r="G63" s="828">
        <f t="shared" si="78"/>
        <v>1000000</v>
      </c>
      <c r="H63" s="781">
        <f t="shared" si="79"/>
        <v>1</v>
      </c>
      <c r="I63" s="782">
        <f t="shared" si="79"/>
        <v>1</v>
      </c>
      <c r="J63" s="782">
        <f t="shared" si="79"/>
        <v>1</v>
      </c>
      <c r="K63" s="782">
        <f t="shared" si="79"/>
        <v>1</v>
      </c>
      <c r="L63" s="782">
        <f t="shared" si="79"/>
        <v>1</v>
      </c>
      <c r="M63" s="783">
        <f t="shared" si="79"/>
        <v>1</v>
      </c>
      <c r="N63" s="631">
        <f t="shared" si="28"/>
        <v>8759.6525392855856</v>
      </c>
      <c r="O63" s="632">
        <f t="shared" si="29"/>
        <v>6641.7149818923854</v>
      </c>
      <c r="P63" s="632">
        <f t="shared" si="30"/>
        <v>5622.1070973434753</v>
      </c>
      <c r="Q63" s="632">
        <f t="shared" si="31"/>
        <v>4438.4906084596059</v>
      </c>
      <c r="R63" s="632">
        <f t="shared" si="32"/>
        <v>5780.2531301658828</v>
      </c>
      <c r="S63" s="745">
        <f t="shared" si="33"/>
        <v>70992.020331022824</v>
      </c>
      <c r="T63" s="733">
        <f t="shared" si="61"/>
        <v>2117.9375573932002</v>
      </c>
      <c r="U63" s="276">
        <f t="shared" si="62"/>
        <v>3137.5454419421103</v>
      </c>
      <c r="V63" s="276">
        <f t="shared" si="63"/>
        <v>4321.1619308259797</v>
      </c>
      <c r="W63" s="276">
        <f t="shared" si="64"/>
        <v>2979.3994091197028</v>
      </c>
      <c r="X63" s="277">
        <f t="shared" si="65"/>
        <v>-62232.367791737241</v>
      </c>
      <c r="Y63" s="279">
        <f ca="1">IF(AND(Y$22=TRUE,INDEX(CDRANGE_CLS1,MATCH($A63,$A$24:$A$67,0),MATCH(Y$20,$B$20:$G$20,0))&lt;$D$6/OPDAYS_Cls1),86,payback(C63,T63,disc_rate/12,85))</f>
        <v>4</v>
      </c>
      <c r="Z63" s="280">
        <f ca="1">IF(AND(Z$22=TRUE,INDEX(CDRANGE_CLS1,MATCH($A63,$A$24:$A$67,0),MATCH(Z$20,$B$20:$G$20,0))&lt;$D$6/OPDAYS_Cls1),86,payback(D63,U63,disc_rate/12,85))</f>
        <v>4</v>
      </c>
      <c r="AA63" s="280">
        <f>IF(AND(AA$22=TRUE,INDEX(CDRANGE_CLS1,MATCH($A63,$A$24:$A$67,0),MATCH(AA$20,$B$20:$G$20,0))&lt;$D$6/OPDAYS_Cls1),86,payback(E63,V63,disc_rate/12,85))</f>
        <v>86</v>
      </c>
      <c r="AB63" s="280">
        <f ca="1">IF(AND(AB$22=TRUE,INDEX(CDRANGE_CLS1,MATCH($A63,$A$24:$A$67,0),MATCH(AB$20,$B$20:$G$20,0))&lt;$D$6/OPDAYS_Cls1),86,payback(F63,W63,disc_rate/12,85))</f>
        <v>13</v>
      </c>
      <c r="AC63" s="610">
        <f ca="1">IF(AND(AC$22=TRUE,INDEX(CDRANGE_CLS1,MATCH($A63,$A$24:$A$67,0),MATCH(AC$20,$B$20:$G$20,0))&lt;$D$6/OPDAYS_Cls1),86,payback(G63,X63,disc_rate/12,85))</f>
        <v>86</v>
      </c>
      <c r="AD63" s="282">
        <f t="shared" si="35"/>
        <v>0</v>
      </c>
      <c r="AE63" s="283">
        <f t="shared" si="36"/>
        <v>0</v>
      </c>
      <c r="AF63" s="283">
        <f t="shared" si="37"/>
        <v>0</v>
      </c>
      <c r="AG63" s="283">
        <f t="shared" si="38"/>
        <v>0</v>
      </c>
      <c r="AH63" s="284">
        <f t="shared" si="39"/>
        <v>0</v>
      </c>
      <c r="AI63" s="1140">
        <f t="shared" si="40"/>
        <v>0.4999999793003122</v>
      </c>
      <c r="AJ63" s="1141">
        <f t="shared" si="41"/>
        <v>0.4999999793003122</v>
      </c>
      <c r="AK63" s="1141">
        <f t="shared" si="42"/>
        <v>0.4999999793003122</v>
      </c>
      <c r="AL63" s="1141">
        <f t="shared" si="43"/>
        <v>0.4999999793003122</v>
      </c>
      <c r="AM63" s="1154">
        <f t="shared" si="44"/>
        <v>0</v>
      </c>
      <c r="AN63" s="285">
        <f t="shared" si="66"/>
        <v>0.9946968156354079</v>
      </c>
      <c r="AO63" s="286">
        <f t="shared" si="67"/>
        <v>0.98611186498275827</v>
      </c>
      <c r="AP63" s="286">
        <f t="shared" si="68"/>
        <v>0.56945734521076419</v>
      </c>
      <c r="AQ63" s="286">
        <f t="shared" si="69"/>
        <v>0.87830845408871594</v>
      </c>
      <c r="AR63" s="611">
        <f t="shared" si="70"/>
        <v>0</v>
      </c>
      <c r="AS63" s="282">
        <f t="shared" ca="1" si="46"/>
        <v>0.99999995860062441</v>
      </c>
      <c r="AT63" s="283">
        <f t="shared" ca="1" si="47"/>
        <v>0.99999995860062441</v>
      </c>
      <c r="AU63" s="283">
        <f t="shared" si="48"/>
        <v>0</v>
      </c>
      <c r="AV63" s="283">
        <f t="shared" ca="1" si="49"/>
        <v>0.89687213711961367</v>
      </c>
      <c r="AW63" s="284">
        <f t="shared" ca="1" si="50"/>
        <v>0</v>
      </c>
      <c r="AX63" s="282">
        <f t="shared" ca="1" si="51"/>
        <v>0.9946967744555808</v>
      </c>
      <c r="AY63" s="283">
        <f t="shared" ca="1" si="52"/>
        <v>0.98611182415834275</v>
      </c>
      <c r="AZ63" s="283">
        <f t="shared" si="53"/>
        <v>0</v>
      </c>
      <c r="BA63" s="283">
        <f t="shared" ca="1" si="71"/>
        <v>0.78773038026877074</v>
      </c>
      <c r="BB63" s="284">
        <f t="shared" ca="1" si="72"/>
        <v>0</v>
      </c>
      <c r="BC63" s="282">
        <f t="shared" ca="1" si="73"/>
        <v>5.3032255444191989E-3</v>
      </c>
      <c r="BD63" s="283">
        <f t="shared" ca="1" si="56"/>
        <v>0.35738043807916325</v>
      </c>
      <c r="BE63" s="283">
        <f t="shared" ca="1" si="57"/>
        <v>0.35429598724258143</v>
      </c>
      <c r="BF63" s="283">
        <f t="shared" ca="1" si="58"/>
        <v>0</v>
      </c>
      <c r="BG63" s="283">
        <f t="shared" ca="1" si="59"/>
        <v>0.28302034913383617</v>
      </c>
      <c r="BH63" s="284">
        <f t="shared" ca="1" si="60"/>
        <v>0</v>
      </c>
    </row>
    <row r="64" spans="1:60" x14ac:dyDescent="0.2">
      <c r="A64" s="317">
        <v>2047</v>
      </c>
      <c r="B64" s="820">
        <f t="shared" si="78"/>
        <v>163848.29</v>
      </c>
      <c r="C64" s="821">
        <f t="shared" si="78"/>
        <v>7437.03</v>
      </c>
      <c r="D64" s="821">
        <f t="shared" si="78"/>
        <v>11776.09</v>
      </c>
      <c r="E64" s="821">
        <f t="shared" si="78"/>
        <v>63372.66</v>
      </c>
      <c r="F64" s="821">
        <f t="shared" si="78"/>
        <v>32090.57</v>
      </c>
      <c r="G64" s="822">
        <f t="shared" si="78"/>
        <v>1000000</v>
      </c>
      <c r="H64" s="781">
        <f t="shared" si="79"/>
        <v>1</v>
      </c>
      <c r="I64" s="782">
        <f t="shared" si="79"/>
        <v>1</v>
      </c>
      <c r="J64" s="782">
        <f t="shared" si="79"/>
        <v>1</v>
      </c>
      <c r="K64" s="782">
        <f t="shared" si="79"/>
        <v>1</v>
      </c>
      <c r="L64" s="782">
        <f t="shared" si="79"/>
        <v>1</v>
      </c>
      <c r="M64" s="783">
        <f t="shared" si="79"/>
        <v>1</v>
      </c>
      <c r="N64" s="275">
        <f t="shared" si="28"/>
        <v>8841.4362216674272</v>
      </c>
      <c r="O64" s="276">
        <f t="shared" si="29"/>
        <v>6633.6595616847126</v>
      </c>
      <c r="P64" s="276">
        <f t="shared" si="30"/>
        <v>5590.4401333852675</v>
      </c>
      <c r="Q64" s="276">
        <f t="shared" si="31"/>
        <v>4098.0094323611229</v>
      </c>
      <c r="R64" s="276">
        <f t="shared" si="32"/>
        <v>5531.7295581093367</v>
      </c>
      <c r="S64" s="278">
        <f t="shared" si="33"/>
        <v>71654.818790691512</v>
      </c>
      <c r="T64" s="734">
        <f t="shared" si="61"/>
        <v>2207.7766599827146</v>
      </c>
      <c r="U64" s="290">
        <f t="shared" si="62"/>
        <v>3250.9960882821597</v>
      </c>
      <c r="V64" s="290">
        <f t="shared" si="63"/>
        <v>4743.4267893063043</v>
      </c>
      <c r="W64" s="290">
        <f t="shared" si="64"/>
        <v>3309.7066635580904</v>
      </c>
      <c r="X64" s="291">
        <f t="shared" si="65"/>
        <v>-62813.382569024085</v>
      </c>
      <c r="Y64" s="293">
        <f ca="1">IF(AND(Y$22=TRUE,INDEX(CDRANGE_CLS1,MATCH($A64,$A$24:$A$67,0),MATCH(Y$20,$B$20:$G$20,0))&lt;$D$6/OPDAYS_Cls1),86,payback(C64,T64,disc_rate/12,85))</f>
        <v>4</v>
      </c>
      <c r="Z64" s="294">
        <f ca="1">IF(AND(Z$22=TRUE,INDEX(CDRANGE_CLS1,MATCH($A64,$A$24:$A$67,0),MATCH(Z$20,$B$20:$G$20,0))&lt;$D$6/OPDAYS_Cls1),86,payback(D64,U64,disc_rate/12,85))</f>
        <v>4</v>
      </c>
      <c r="AA64" s="294">
        <f>IF(AND(AA$22=TRUE,INDEX(CDRANGE_CLS1,MATCH($A64,$A$24:$A$67,0),MATCH(AA$20,$B$20:$G$20,0))&lt;$D$6/OPDAYS_Cls1),86,payback(E64,V64,disc_rate/12,85))</f>
        <v>86</v>
      </c>
      <c r="AB64" s="294">
        <f ca="1">IF(AND(AB$22=TRUE,INDEX(CDRANGE_CLS1,MATCH($A64,$A$24:$A$67,0),MATCH(AB$20,$B$20:$G$20,0))&lt;$D$6/OPDAYS_Cls1),86,payback(F64,W64,disc_rate/12,85))</f>
        <v>11</v>
      </c>
      <c r="AC64" s="592">
        <f ca="1">IF(AND(AC$22=TRUE,INDEX(CDRANGE_CLS1,MATCH($A64,$A$24:$A$67,0),MATCH(AC$20,$B$20:$G$20,0))&lt;$D$6/OPDAYS_Cls1),86,payback(G64,X64,disc_rate/12,85))</f>
        <v>86</v>
      </c>
      <c r="AD64" s="296">
        <f t="shared" si="35"/>
        <v>0</v>
      </c>
      <c r="AE64" s="297">
        <f t="shared" si="36"/>
        <v>0</v>
      </c>
      <c r="AF64" s="297">
        <f t="shared" si="37"/>
        <v>0</v>
      </c>
      <c r="AG64" s="297">
        <f t="shared" si="38"/>
        <v>0</v>
      </c>
      <c r="AH64" s="298">
        <f t="shared" si="39"/>
        <v>0</v>
      </c>
      <c r="AI64" s="1143">
        <f t="shared" si="40"/>
        <v>0.49999999238501025</v>
      </c>
      <c r="AJ64" s="1144">
        <f t="shared" si="41"/>
        <v>0.49999999238501025</v>
      </c>
      <c r="AK64" s="1144">
        <f t="shared" si="42"/>
        <v>0.49999999238501025</v>
      </c>
      <c r="AL64" s="1144">
        <f t="shared" si="43"/>
        <v>0.49999999238501025</v>
      </c>
      <c r="AM64" s="1152">
        <f t="shared" si="44"/>
        <v>0</v>
      </c>
      <c r="AN64" s="299">
        <f t="shared" si="66"/>
        <v>0.99429348937783879</v>
      </c>
      <c r="AO64" s="300">
        <f t="shared" si="67"/>
        <v>0.98575364290383705</v>
      </c>
      <c r="AP64" s="300">
        <f t="shared" si="68"/>
        <v>0.65998081864529468</v>
      </c>
      <c r="AQ64" s="300">
        <f t="shared" si="69"/>
        <v>0.89892677443275837</v>
      </c>
      <c r="AR64" s="598">
        <f t="shared" si="70"/>
        <v>0</v>
      </c>
      <c r="AS64" s="296">
        <f t="shared" ca="1" si="46"/>
        <v>0.9999999847700205</v>
      </c>
      <c r="AT64" s="297">
        <f t="shared" ca="1" si="47"/>
        <v>0.9999999847700205</v>
      </c>
      <c r="AU64" s="297">
        <f t="shared" si="48"/>
        <v>0</v>
      </c>
      <c r="AV64" s="297">
        <f t="shared" ca="1" si="49"/>
        <v>0.94233241180480543</v>
      </c>
      <c r="AW64" s="298">
        <f t="shared" ca="1" si="50"/>
        <v>0</v>
      </c>
      <c r="AX64" s="296">
        <f t="shared" ca="1" si="51"/>
        <v>0.99429347423476933</v>
      </c>
      <c r="AY64" s="297">
        <f t="shared" ca="1" si="52"/>
        <v>0.98575362789082932</v>
      </c>
      <c r="AZ64" s="297">
        <f t="shared" si="53"/>
        <v>0</v>
      </c>
      <c r="BA64" s="297">
        <f t="shared" ca="1" si="71"/>
        <v>0.8470878353871355</v>
      </c>
      <c r="BB64" s="298">
        <f t="shared" ca="1" si="72"/>
        <v>0</v>
      </c>
      <c r="BC64" s="296">
        <f t="shared" ca="1" si="73"/>
        <v>5.7065257652306745E-3</v>
      </c>
      <c r="BD64" s="297">
        <f t="shared" ca="1" si="56"/>
        <v>0.34968953897036792</v>
      </c>
      <c r="BE64" s="297">
        <f t="shared" ca="1" si="57"/>
        <v>0.34668610486537343</v>
      </c>
      <c r="BF64" s="297">
        <f t="shared" ca="1" si="58"/>
        <v>0</v>
      </c>
      <c r="BG64" s="297">
        <f t="shared" ca="1" si="59"/>
        <v>0.29791783039902797</v>
      </c>
      <c r="BH64" s="298">
        <f t="shared" ca="1" si="60"/>
        <v>0</v>
      </c>
    </row>
    <row r="65" spans="1:60" x14ac:dyDescent="0.2">
      <c r="A65" s="317">
        <v>2048</v>
      </c>
      <c r="B65" s="820">
        <f t="shared" si="78"/>
        <v>163848.29</v>
      </c>
      <c r="C65" s="821">
        <f t="shared" si="78"/>
        <v>7616.6</v>
      </c>
      <c r="D65" s="821">
        <f t="shared" si="78"/>
        <v>11876.5</v>
      </c>
      <c r="E65" s="821">
        <f t="shared" si="78"/>
        <v>56415.82</v>
      </c>
      <c r="F65" s="821">
        <f t="shared" si="78"/>
        <v>29867.55</v>
      </c>
      <c r="G65" s="822">
        <f t="shared" si="78"/>
        <v>1000000</v>
      </c>
      <c r="H65" s="781">
        <f t="shared" si="79"/>
        <v>1</v>
      </c>
      <c r="I65" s="782">
        <f t="shared" si="79"/>
        <v>1</v>
      </c>
      <c r="J65" s="782">
        <f t="shared" si="79"/>
        <v>1</v>
      </c>
      <c r="K65" s="782">
        <f t="shared" si="79"/>
        <v>1</v>
      </c>
      <c r="L65" s="782">
        <f t="shared" si="79"/>
        <v>1</v>
      </c>
      <c r="M65" s="783">
        <f t="shared" si="79"/>
        <v>1</v>
      </c>
      <c r="N65" s="275">
        <f t="shared" si="28"/>
        <v>8916.4800973471174</v>
      </c>
      <c r="O65" s="276">
        <f t="shared" si="29"/>
        <v>6643.4976837716576</v>
      </c>
      <c r="P65" s="276">
        <f t="shared" si="30"/>
        <v>5582.4873727114045</v>
      </c>
      <c r="Q65" s="276">
        <f t="shared" si="31"/>
        <v>3923.21088054753</v>
      </c>
      <c r="R65" s="276">
        <f t="shared" si="32"/>
        <v>5320.1855962132104</v>
      </c>
      <c r="S65" s="278">
        <f t="shared" si="33"/>
        <v>72262.959573350861</v>
      </c>
      <c r="T65" s="734">
        <f t="shared" si="61"/>
        <v>2272.9824135754598</v>
      </c>
      <c r="U65" s="290">
        <f t="shared" si="62"/>
        <v>3333.9927246357129</v>
      </c>
      <c r="V65" s="290">
        <f t="shared" si="63"/>
        <v>4993.2692167995874</v>
      </c>
      <c r="W65" s="290">
        <f t="shared" si="64"/>
        <v>3596.294501133907</v>
      </c>
      <c r="X65" s="291">
        <f t="shared" si="65"/>
        <v>-63346.479476003748</v>
      </c>
      <c r="Y65" s="293">
        <f ca="1">IF(AND(Y$22=TRUE,INDEX(CDRANGE_CLS1,MATCH($A65,$A$24:$A$67,0),MATCH(Y$20,$B$20:$G$20,0))&lt;$D$6/OPDAYS_Cls1),86,payback(C65,T65,disc_rate/12,85))</f>
        <v>4</v>
      </c>
      <c r="Z65" s="294">
        <f ca="1">IF(AND(Z$22=TRUE,INDEX(CDRANGE_CLS1,MATCH($A65,$A$24:$A$67,0),MATCH(Z$20,$B$20:$G$20,0))&lt;$D$6/OPDAYS_Cls1),86,payback(D65,U65,disc_rate/12,85))</f>
        <v>4</v>
      </c>
      <c r="AA65" s="294">
        <f>IF(AND(AA$22=TRUE,INDEX(CDRANGE_CLS1,MATCH($A65,$A$24:$A$67,0),MATCH(AA$20,$B$20:$G$20,0))&lt;$D$6/OPDAYS_Cls1),86,payback(E65,V65,disc_rate/12,85))</f>
        <v>86</v>
      </c>
      <c r="AB65" s="294">
        <f ca="1">IF(AND(AB$22=TRUE,INDEX(CDRANGE_CLS1,MATCH($A65,$A$24:$A$67,0),MATCH(AB$20,$B$20:$G$20,0))&lt;$D$6/OPDAYS_Cls1),86,payback(F65,W65,disc_rate/12,85))</f>
        <v>9</v>
      </c>
      <c r="AC65" s="592">
        <f ca="1">IF(AND(AC$22=TRUE,INDEX(CDRANGE_CLS1,MATCH($A65,$A$24:$A$67,0),MATCH(AC$20,$B$20:$G$20,0))&lt;$D$6/OPDAYS_Cls1),86,payback(G65,X65,disc_rate/12,85))</f>
        <v>86</v>
      </c>
      <c r="AD65" s="296">
        <f t="shared" si="35"/>
        <v>0</v>
      </c>
      <c r="AE65" s="297">
        <f t="shared" si="36"/>
        <v>0</v>
      </c>
      <c r="AF65" s="297">
        <f t="shared" si="37"/>
        <v>0</v>
      </c>
      <c r="AG65" s="297">
        <f t="shared" si="38"/>
        <v>0</v>
      </c>
      <c r="AH65" s="298">
        <f t="shared" si="39"/>
        <v>0</v>
      </c>
      <c r="AI65" s="1143">
        <f t="shared" si="40"/>
        <v>0.49999999719860178</v>
      </c>
      <c r="AJ65" s="1144">
        <f t="shared" si="41"/>
        <v>0.49999999719860178</v>
      </c>
      <c r="AK65" s="1144">
        <f t="shared" si="42"/>
        <v>0.49999999719860178</v>
      </c>
      <c r="AL65" s="1144">
        <f t="shared" si="43"/>
        <v>0.49999999719860178</v>
      </c>
      <c r="AM65" s="1152">
        <f t="shared" si="44"/>
        <v>0</v>
      </c>
      <c r="AN65" s="299">
        <f t="shared" si="66"/>
        <v>0.99401542679380628</v>
      </c>
      <c r="AO65" s="300">
        <f t="shared" si="67"/>
        <v>0.98551143719554413</v>
      </c>
      <c r="AP65" s="300">
        <f t="shared" si="68"/>
        <v>0.71941419929572836</v>
      </c>
      <c r="AQ65" s="300">
        <f t="shared" si="69"/>
        <v>0.91182939427411336</v>
      </c>
      <c r="AR65" s="598">
        <f t="shared" si="70"/>
        <v>0</v>
      </c>
      <c r="AS65" s="296">
        <f t="shared" ca="1" si="46"/>
        <v>0.99999999439720355</v>
      </c>
      <c r="AT65" s="297">
        <f t="shared" ca="1" si="47"/>
        <v>0.99999999439720355</v>
      </c>
      <c r="AU65" s="297">
        <f t="shared" si="48"/>
        <v>0</v>
      </c>
      <c r="AV65" s="297">
        <f t="shared" ca="1" si="49"/>
        <v>0.97659516623265696</v>
      </c>
      <c r="AW65" s="298">
        <f t="shared" ca="1" si="50"/>
        <v>0</v>
      </c>
      <c r="AX65" s="296">
        <f t="shared" ca="1" si="51"/>
        <v>0.99401542122454023</v>
      </c>
      <c r="AY65" s="297">
        <f t="shared" ca="1" si="52"/>
        <v>0.98551143167392419</v>
      </c>
      <c r="AZ65" s="297">
        <f t="shared" si="53"/>
        <v>0</v>
      </c>
      <c r="BA65" s="297">
        <f t="shared" ca="1" si="71"/>
        <v>0.89048817887695064</v>
      </c>
      <c r="BB65" s="298">
        <f t="shared" ca="1" si="72"/>
        <v>0</v>
      </c>
      <c r="BC65" s="296">
        <f t="shared" ca="1" si="73"/>
        <v>5.9845787754597701E-3</v>
      </c>
      <c r="BD65" s="297">
        <f t="shared" ca="1" si="56"/>
        <v>0.34427229359177747</v>
      </c>
      <c r="BE65" s="297">
        <f t="shared" ca="1" si="57"/>
        <v>0.34132697913814003</v>
      </c>
      <c r="BF65" s="297">
        <f t="shared" ca="1" si="58"/>
        <v>0</v>
      </c>
      <c r="BG65" s="297">
        <f t="shared" ca="1" si="59"/>
        <v>0.30841614849462273</v>
      </c>
      <c r="BH65" s="298">
        <f t="shared" ca="1" si="60"/>
        <v>0</v>
      </c>
    </row>
    <row r="66" spans="1:60" x14ac:dyDescent="0.2">
      <c r="A66" s="317">
        <v>2049</v>
      </c>
      <c r="B66" s="820">
        <f t="shared" si="78"/>
        <v>163848.29</v>
      </c>
      <c r="C66" s="821">
        <f t="shared" si="78"/>
        <v>7732.5</v>
      </c>
      <c r="D66" s="821">
        <f t="shared" si="78"/>
        <v>11941.3</v>
      </c>
      <c r="E66" s="821">
        <f t="shared" si="78"/>
        <v>51925.64</v>
      </c>
      <c r="F66" s="821">
        <f t="shared" si="78"/>
        <v>28432.73</v>
      </c>
      <c r="G66" s="822">
        <f t="shared" si="78"/>
        <v>1000000</v>
      </c>
      <c r="H66" s="781">
        <f t="shared" si="79"/>
        <v>1</v>
      </c>
      <c r="I66" s="782">
        <f t="shared" si="79"/>
        <v>1</v>
      </c>
      <c r="J66" s="782">
        <f t="shared" si="79"/>
        <v>1</v>
      </c>
      <c r="K66" s="782">
        <f t="shared" si="79"/>
        <v>1</v>
      </c>
      <c r="L66" s="782">
        <f t="shared" si="79"/>
        <v>1</v>
      </c>
      <c r="M66" s="783">
        <f t="shared" si="79"/>
        <v>1</v>
      </c>
      <c r="N66" s="275">
        <f t="shared" si="28"/>
        <v>8971.0858877097708</v>
      </c>
      <c r="O66" s="276">
        <f t="shared" si="29"/>
        <v>6654.3514577665737</v>
      </c>
      <c r="P66" s="276">
        <f t="shared" si="30"/>
        <v>5581.2750934324977</v>
      </c>
      <c r="Q66" s="276">
        <f t="shared" si="31"/>
        <v>3831.3444389308611</v>
      </c>
      <c r="R66" s="276">
        <f t="shared" si="32"/>
        <v>5133.0965170855461</v>
      </c>
      <c r="S66" s="278">
        <f t="shared" si="33"/>
        <v>72705.472601164875</v>
      </c>
      <c r="T66" s="734">
        <f t="shared" si="61"/>
        <v>2316.734429943197</v>
      </c>
      <c r="U66" s="290">
        <f t="shared" si="62"/>
        <v>3389.8107942772731</v>
      </c>
      <c r="V66" s="290">
        <f t="shared" si="63"/>
        <v>5139.7414487789101</v>
      </c>
      <c r="W66" s="290">
        <f t="shared" si="64"/>
        <v>3837.9893706242246</v>
      </c>
      <c r="X66" s="291">
        <f t="shared" si="65"/>
        <v>-63734.386713455104</v>
      </c>
      <c r="Y66" s="293">
        <f ca="1">IF(AND(Y$22=TRUE,INDEX(CDRANGE_CLS1,MATCH($A66,$A$24:$A$67,0),MATCH(Y$20,$B$20:$G$20,0))&lt;$D$6/OPDAYS_Cls1),86,payback(C66,T66,disc_rate/12,85))</f>
        <v>4</v>
      </c>
      <c r="Z66" s="294">
        <f ca="1">IF(AND(Z$22=TRUE,INDEX(CDRANGE_CLS1,MATCH($A66,$A$24:$A$67,0),MATCH(Z$20,$B$20:$G$20,0))&lt;$D$6/OPDAYS_Cls1),86,payback(D66,U66,disc_rate/12,85))</f>
        <v>4</v>
      </c>
      <c r="AA66" s="294">
        <f>IF(AND(AA$22=TRUE,INDEX(CDRANGE_CLS1,MATCH($A66,$A$24:$A$67,0),MATCH(AA$20,$B$20:$G$20,0))&lt;$D$6/OPDAYS_Cls1),86,payback(E66,V66,disc_rate/12,85))</f>
        <v>86</v>
      </c>
      <c r="AB66" s="294">
        <f ca="1">IF(AND(AB$22=TRUE,INDEX(CDRANGE_CLS1,MATCH($A66,$A$24:$A$67,0),MATCH(AB$20,$B$20:$G$20,0))&lt;$D$6/OPDAYS_Cls1),86,payback(F66,W66,disc_rate/12,85))</f>
        <v>8</v>
      </c>
      <c r="AC66" s="592">
        <f ca="1">IF(AND(AC$22=TRUE,INDEX(CDRANGE_CLS1,MATCH($A66,$A$24:$A$67,0),MATCH(AC$20,$B$20:$G$20,0))&lt;$D$6/OPDAYS_Cls1),86,payback(G66,X66,disc_rate/12,85))</f>
        <v>86</v>
      </c>
      <c r="AD66" s="296">
        <f t="shared" si="35"/>
        <v>0</v>
      </c>
      <c r="AE66" s="297">
        <f t="shared" si="36"/>
        <v>0</v>
      </c>
      <c r="AF66" s="297">
        <f t="shared" si="37"/>
        <v>0</v>
      </c>
      <c r="AG66" s="297">
        <f t="shared" si="38"/>
        <v>0</v>
      </c>
      <c r="AH66" s="298">
        <f t="shared" si="39"/>
        <v>0</v>
      </c>
      <c r="AI66" s="1143">
        <f t="shared" si="40"/>
        <v>0.49999999896942315</v>
      </c>
      <c r="AJ66" s="1144">
        <f t="shared" si="41"/>
        <v>0.49999999896942315</v>
      </c>
      <c r="AK66" s="1144">
        <f t="shared" si="42"/>
        <v>0.49999999896942315</v>
      </c>
      <c r="AL66" s="1144">
        <f t="shared" si="43"/>
        <v>0.49999999896942315</v>
      </c>
      <c r="AM66" s="1152">
        <f t="shared" si="44"/>
        <v>0</v>
      </c>
      <c r="AN66" s="299">
        <f t="shared" si="66"/>
        <v>0.99383247647128925</v>
      </c>
      <c r="AO66" s="300">
        <f t="shared" si="67"/>
        <v>0.98535406887327381</v>
      </c>
      <c r="AP66" s="300">
        <f t="shared" si="68"/>
        <v>0.75655293518514122</v>
      </c>
      <c r="AQ66" s="300">
        <f t="shared" si="69"/>
        <v>0.91975579731865442</v>
      </c>
      <c r="AR66" s="598">
        <f t="shared" si="70"/>
        <v>0</v>
      </c>
      <c r="AS66" s="296">
        <f t="shared" ca="1" si="46"/>
        <v>0.99999999793884631</v>
      </c>
      <c r="AT66" s="297">
        <f t="shared" ca="1" si="47"/>
        <v>0.99999999793884631</v>
      </c>
      <c r="AU66" s="297">
        <f t="shared" si="48"/>
        <v>0</v>
      </c>
      <c r="AV66" s="297">
        <f t="shared" ca="1" si="49"/>
        <v>0.98864995797605693</v>
      </c>
      <c r="AW66" s="298">
        <f t="shared" ca="1" si="50"/>
        <v>0</v>
      </c>
      <c r="AX66" s="296">
        <f t="shared" ca="1" si="51"/>
        <v>0.99383247442284772</v>
      </c>
      <c r="AY66" s="297">
        <f t="shared" ca="1" si="52"/>
        <v>0.98535406684230764</v>
      </c>
      <c r="AZ66" s="297">
        <f t="shared" si="53"/>
        <v>0</v>
      </c>
      <c r="BA66" s="297">
        <f t="shared" ca="1" si="71"/>
        <v>0.90931653036732241</v>
      </c>
      <c r="BB66" s="298">
        <f t="shared" ca="1" si="72"/>
        <v>0</v>
      </c>
      <c r="BC66" s="296">
        <f t="shared" ca="1" si="73"/>
        <v>6.1675255771522774E-3</v>
      </c>
      <c r="BD66" s="297">
        <f t="shared" ca="1" si="56"/>
        <v>0.34194285507864325</v>
      </c>
      <c r="BE66" s="297">
        <f t="shared" ca="1" si="57"/>
        <v>0.33902573275750569</v>
      </c>
      <c r="BF66" s="297">
        <f t="shared" ca="1" si="58"/>
        <v>0</v>
      </c>
      <c r="BG66" s="297">
        <f t="shared" ca="1" si="59"/>
        <v>0.31286388658669878</v>
      </c>
      <c r="BH66" s="298">
        <f t="shared" ca="1" si="60"/>
        <v>0</v>
      </c>
    </row>
    <row r="67" spans="1:60" ht="13.5" thickBot="1" x14ac:dyDescent="0.25">
      <c r="A67" s="302">
        <v>2050</v>
      </c>
      <c r="B67" s="823">
        <f t="shared" si="78"/>
        <v>163848.29</v>
      </c>
      <c r="C67" s="824">
        <f t="shared" si="78"/>
        <v>7922.59</v>
      </c>
      <c r="D67" s="824">
        <f t="shared" si="78"/>
        <v>12047.59</v>
      </c>
      <c r="E67" s="824">
        <f t="shared" si="78"/>
        <v>44561.59</v>
      </c>
      <c r="F67" s="824">
        <f t="shared" si="78"/>
        <v>26079.59</v>
      </c>
      <c r="G67" s="825">
        <f t="shared" si="78"/>
        <v>1000000</v>
      </c>
      <c r="H67" s="781">
        <f t="shared" si="79"/>
        <v>1</v>
      </c>
      <c r="I67" s="782">
        <f t="shared" si="79"/>
        <v>1</v>
      </c>
      <c r="J67" s="782">
        <f t="shared" si="79"/>
        <v>1</v>
      </c>
      <c r="K67" s="782">
        <f t="shared" si="79"/>
        <v>1</v>
      </c>
      <c r="L67" s="782">
        <f t="shared" si="79"/>
        <v>1</v>
      </c>
      <c r="M67" s="783">
        <f t="shared" si="79"/>
        <v>1</v>
      </c>
      <c r="N67" s="778">
        <f t="shared" si="28"/>
        <v>9021.4194140308919</v>
      </c>
      <c r="O67" s="779">
        <f t="shared" si="29"/>
        <v>6643.0553603442486</v>
      </c>
      <c r="P67" s="779">
        <f t="shared" si="30"/>
        <v>5555.1620356486574</v>
      </c>
      <c r="Q67" s="779">
        <f t="shared" si="31"/>
        <v>3755.7139838480693</v>
      </c>
      <c r="R67" s="779">
        <f t="shared" si="32"/>
        <v>4926.5146101838409</v>
      </c>
      <c r="S67" s="780">
        <f t="shared" si="33"/>
        <v>73113.264913891864</v>
      </c>
      <c r="T67" s="737">
        <f t="shared" si="61"/>
        <v>2378.3640536866433</v>
      </c>
      <c r="U67" s="304">
        <f t="shared" si="62"/>
        <v>3466.2573783822345</v>
      </c>
      <c r="V67" s="304">
        <f t="shared" si="63"/>
        <v>5265.705430182823</v>
      </c>
      <c r="W67" s="304">
        <f t="shared" si="64"/>
        <v>4094.904803847051</v>
      </c>
      <c r="X67" s="305">
        <f t="shared" si="65"/>
        <v>-64091.845499860974</v>
      </c>
      <c r="Y67" s="307">
        <f ca="1">IF(AND(Y$22=TRUE,INDEX(CDRANGE_CLS1,MATCH($A67,$A$24:$A$67,0),MATCH(Y$20,$B$20:$G$20,0))&lt;$D$6/OPDAYS_Cls1),86,payback(C67,T67,disc_rate/12,85))</f>
        <v>4</v>
      </c>
      <c r="Z67" s="308">
        <f ca="1">IF(AND(Z$22=TRUE,INDEX(CDRANGE_CLS1,MATCH($A67,$A$24:$A$67,0),MATCH(Z$20,$B$20:$G$20,0))&lt;$D$6/OPDAYS_Cls1),86,payback(D67,U67,disc_rate/12,85))</f>
        <v>4</v>
      </c>
      <c r="AA67" s="308">
        <f>IF(AND(AA$22=TRUE,INDEX(CDRANGE_CLS1,MATCH($A67,$A$24:$A$67,0),MATCH(AA$20,$B$20:$G$20,0))&lt;$D$6/OPDAYS_Cls1),86,payback(E67,V67,disc_rate/12,85))</f>
        <v>86</v>
      </c>
      <c r="AB67" s="308">
        <f ca="1">IF(AND(AB$22=TRUE,INDEX(CDRANGE_CLS1,MATCH($A67,$A$24:$A$67,0),MATCH(AB$20,$B$20:$G$20,0))&lt;$D$6/OPDAYS_Cls1),86,payback(F67,W67,disc_rate/12,85))</f>
        <v>7</v>
      </c>
      <c r="AC67" s="593">
        <f ca="1">IF(AND(AC$22=TRUE,INDEX(CDRANGE_CLS1,MATCH($A67,$A$24:$A$67,0),MATCH(AC$20,$B$20:$G$20,0))&lt;$D$6/OPDAYS_Cls1),86,payback(G67,X67,disc_rate/12,85))</f>
        <v>86</v>
      </c>
      <c r="AD67" s="310">
        <f t="shared" si="35"/>
        <v>0</v>
      </c>
      <c r="AE67" s="311">
        <f t="shared" si="36"/>
        <v>0</v>
      </c>
      <c r="AF67" s="311">
        <f t="shared" si="37"/>
        <v>0</v>
      </c>
      <c r="AG67" s="311">
        <f t="shared" si="38"/>
        <v>0</v>
      </c>
      <c r="AH67" s="312">
        <f t="shared" si="39"/>
        <v>0</v>
      </c>
      <c r="AI67" s="1146">
        <f t="shared" si="40"/>
        <v>0.49999999962087194</v>
      </c>
      <c r="AJ67" s="1147">
        <f t="shared" si="41"/>
        <v>0.49999999962087194</v>
      </c>
      <c r="AK67" s="1147">
        <f t="shared" si="42"/>
        <v>0.49999999962087194</v>
      </c>
      <c r="AL67" s="1147">
        <f t="shared" si="43"/>
        <v>0.49999999962087194</v>
      </c>
      <c r="AM67" s="1153">
        <f t="shared" si="44"/>
        <v>0</v>
      </c>
      <c r="AN67" s="313">
        <f t="shared" si="66"/>
        <v>0.9935265092968768</v>
      </c>
      <c r="AO67" s="314">
        <f t="shared" si="67"/>
        <v>0.98509414195398981</v>
      </c>
      <c r="AP67" s="314">
        <f t="shared" si="68"/>
        <v>0.81426968087833695</v>
      </c>
      <c r="AQ67" s="314">
        <f t="shared" si="69"/>
        <v>0.93204472350061951</v>
      </c>
      <c r="AR67" s="599">
        <f t="shared" si="70"/>
        <v>0</v>
      </c>
      <c r="AS67" s="310">
        <f t="shared" ca="1" si="46"/>
        <v>0.99999999924174388</v>
      </c>
      <c r="AT67" s="311">
        <f t="shared" ca="1" si="47"/>
        <v>0.99999999924174388</v>
      </c>
      <c r="AU67" s="311">
        <f t="shared" si="48"/>
        <v>0</v>
      </c>
      <c r="AV67" s="311">
        <f t="shared" ca="1" si="49"/>
        <v>0.99672728465125515</v>
      </c>
      <c r="AW67" s="312">
        <f t="shared" ca="1" si="50"/>
        <v>0</v>
      </c>
      <c r="AX67" s="310">
        <f t="shared" ca="1" si="51"/>
        <v>0.9935265085435292</v>
      </c>
      <c r="AY67" s="311">
        <f t="shared" ca="1" si="52"/>
        <v>0.98509414120703609</v>
      </c>
      <c r="AZ67" s="311">
        <f t="shared" si="53"/>
        <v>0</v>
      </c>
      <c r="BA67" s="311">
        <f t="shared" ca="1" si="71"/>
        <v>0.92899440642830233</v>
      </c>
      <c r="BB67" s="312">
        <f t="shared" ca="1" si="72"/>
        <v>0</v>
      </c>
      <c r="BC67" s="310">
        <f t="shared" ca="1" si="73"/>
        <v>6.4734914564708035E-3</v>
      </c>
      <c r="BD67" s="311">
        <f t="shared" ca="1" si="56"/>
        <v>0.33948610944253288</v>
      </c>
      <c r="BE67" s="311">
        <f t="shared" ca="1" si="57"/>
        <v>0.33660478563703838</v>
      </c>
      <c r="BF67" s="311">
        <f t="shared" ca="1" si="58"/>
        <v>0</v>
      </c>
      <c r="BG67" s="311">
        <f t="shared" ca="1" si="59"/>
        <v>0.31743561346395804</v>
      </c>
      <c r="BH67" s="312">
        <f t="shared" ca="1" si="60"/>
        <v>0</v>
      </c>
    </row>
    <row r="68" spans="1:60" x14ac:dyDescent="0.2">
      <c r="A68" s="227" t="str">
        <f>"Output generated: "&amp; TEXT(MAX($P$4,$P$5),"m/dd/yyyy hh:mm")</f>
        <v>Output generated: 8/27/2020 18:37</v>
      </c>
      <c r="B68" s="808"/>
      <c r="C68" s="808"/>
      <c r="D68" s="808"/>
      <c r="E68" s="808"/>
      <c r="F68" s="808"/>
      <c r="G68" s="768"/>
      <c r="W68" s="227" t="str">
        <f>IF(K68=0,"",$N68-R68+W$22)</f>
        <v/>
      </c>
      <c r="X68" s="227" t="str">
        <f>IF(M68=0,"",$N68-S68+X$22)</f>
        <v/>
      </c>
      <c r="Y68" s="234"/>
      <c r="Z68" s="234"/>
      <c r="AA68" s="234"/>
      <c r="AB68" s="234"/>
      <c r="AC68" s="234"/>
      <c r="AD68" s="322"/>
      <c r="AE68" s="234"/>
      <c r="AF68" s="234"/>
      <c r="AG68" s="234"/>
      <c r="AH68" s="234"/>
    </row>
    <row r="69" spans="1:60" ht="13.5" thickBot="1" x14ac:dyDescent="0.25">
      <c r="W69" s="227" t="str">
        <f>IF(K69=0,"",$N69-R69+W$22)</f>
        <v/>
      </c>
      <c r="X69" s="227" t="str">
        <f>IF(M69=0,"",$N69-S69+X$22)</f>
        <v/>
      </c>
    </row>
    <row r="70" spans="1:60" s="29" customFormat="1" ht="15" x14ac:dyDescent="0.25">
      <c r="A70" s="333"/>
      <c r="B70" s="1538" t="s">
        <v>187</v>
      </c>
      <c r="C70" s="1539"/>
      <c r="D70" s="1539"/>
      <c r="E70" s="1539"/>
      <c r="F70" s="1539"/>
      <c r="G70" s="1539"/>
      <c r="H70" s="1539"/>
      <c r="I70" s="1539"/>
      <c r="J70" s="1539"/>
      <c r="K70" s="1539"/>
      <c r="L70" s="1539"/>
      <c r="M70" s="1539"/>
      <c r="N70" s="1540"/>
      <c r="O70" s="1538" t="s">
        <v>188</v>
      </c>
      <c r="P70" s="1539"/>
      <c r="Q70" s="1539"/>
      <c r="R70" s="1539"/>
      <c r="S70" s="1539"/>
      <c r="T70" s="1539"/>
      <c r="U70" s="1539"/>
      <c r="V70" s="1539"/>
      <c r="W70" s="1539"/>
      <c r="X70" s="1539"/>
      <c r="Y70" s="1539"/>
      <c r="Z70" s="1539"/>
      <c r="AA70" s="1540"/>
    </row>
    <row r="71" spans="1:60" x14ac:dyDescent="0.2">
      <c r="A71" s="324"/>
      <c r="B71" s="1535" t="s">
        <v>121</v>
      </c>
      <c r="C71" s="1536"/>
      <c r="D71" s="1536"/>
      <c r="E71" s="1536"/>
      <c r="F71" s="1536"/>
      <c r="G71" s="1536"/>
      <c r="H71" s="1536"/>
      <c r="I71" s="1536"/>
      <c r="J71" s="1536"/>
      <c r="K71" s="1536"/>
      <c r="L71" s="1537"/>
      <c r="M71" s="382"/>
      <c r="N71" s="325"/>
      <c r="O71" s="1535" t="s">
        <v>121</v>
      </c>
      <c r="P71" s="1536"/>
      <c r="Q71" s="1536"/>
      <c r="R71" s="1536"/>
      <c r="S71" s="1536"/>
      <c r="T71" s="1536"/>
      <c r="U71" s="1536"/>
      <c r="V71" s="1536"/>
      <c r="W71" s="1536"/>
      <c r="X71" s="1536"/>
      <c r="Y71" s="1537"/>
      <c r="Z71" s="382"/>
      <c r="AA71" s="325"/>
      <c r="AI71" s="227"/>
      <c r="AJ71" s="227"/>
      <c r="AK71" s="227"/>
      <c r="AL71" s="227"/>
      <c r="AM71" s="227"/>
    </row>
    <row r="72" spans="1:60" s="228" customFormat="1" ht="13.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3" t="s">
        <v>267</v>
      </c>
      <c r="AD72" s="234" t="b">
        <f>INDEX(TECH_OPT_FUEL2_Cls1,MATCH(RIGHT(O70),TECH_OPT_ROWS_Cls1,0))&lt;&gt;"N/A"</f>
        <v>0</v>
      </c>
    </row>
    <row r="73" spans="1:60" s="228" customFormat="1" ht="14.25"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6"/>
      <c r="AC73" s="903" t="s">
        <v>268</v>
      </c>
      <c r="AD73" s="234">
        <f>MATCH(RIGHT(O70),TECH_OPT_ROWS_Cls1,0)</f>
        <v>2</v>
      </c>
      <c r="AH73"/>
      <c r="AI73"/>
      <c r="AJ73"/>
      <c r="AK73"/>
      <c r="AL73"/>
      <c r="AM73"/>
      <c r="AN73"/>
      <c r="AO73"/>
      <c r="AP73"/>
      <c r="AQ73"/>
      <c r="AR73"/>
      <c r="AS73"/>
      <c r="AT73"/>
      <c r="AU73"/>
    </row>
    <row r="74" spans="1:60" s="228" customFormat="1" x14ac:dyDescent="0.2">
      <c r="A74" s="331" t="s">
        <v>125</v>
      </c>
      <c r="B74" s="938">
        <f t="array" ref="B74:L74">TRANSPOSE(Cls1CentVMTShr)</f>
        <v>8.9762242961142352E-4</v>
      </c>
      <c r="C74" s="939">
        <v>1.2044238150123706E-3</v>
      </c>
      <c r="D74" s="939">
        <v>4.1499109643594731E-3</v>
      </c>
      <c r="E74" s="939">
        <v>1.9575808105519295E-2</v>
      </c>
      <c r="F74" s="939">
        <v>3.4523467949689302E-2</v>
      </c>
      <c r="G74" s="939">
        <v>2.7311948935134379E-2</v>
      </c>
      <c r="H74" s="939">
        <v>7.6478458482655817E-2</v>
      </c>
      <c r="I74" s="939">
        <v>3.2480526319280681E-2</v>
      </c>
      <c r="J74" s="939">
        <v>1.1772940427842455E-2</v>
      </c>
      <c r="K74" s="939">
        <v>6.0339283082965706E-3</v>
      </c>
      <c r="L74" s="940">
        <v>1.5952440951210019E-2</v>
      </c>
      <c r="M74" s="388"/>
      <c r="N74" s="334"/>
      <c r="O74" s="938">
        <f t="array" ref="O74:Y74">TRANSPOSE(Cls1NCentVMTShr)</f>
        <v>1.3589913425833078E-3</v>
      </c>
      <c r="P74" s="939">
        <v>5.8692629772239642E-3</v>
      </c>
      <c r="Q74" s="939">
        <v>1.2100393581509007E-2</v>
      </c>
      <c r="R74" s="939">
        <v>3.6555003327388577E-2</v>
      </c>
      <c r="S74" s="939">
        <v>8.3148735051829181E-2</v>
      </c>
      <c r="T74" s="939">
        <v>0.18151138394047112</v>
      </c>
      <c r="U74" s="939">
        <v>0.2383386372324876</v>
      </c>
      <c r="V74" s="939">
        <v>9.5602564448196578E-2</v>
      </c>
      <c r="W74" s="939">
        <v>2.9193025028929166E-2</v>
      </c>
      <c r="X74" s="939">
        <v>3.5209492159336005E-2</v>
      </c>
      <c r="Y74" s="940">
        <v>5.0731034221433824E-2</v>
      </c>
      <c r="Z74" s="386"/>
      <c r="AA74" s="334"/>
      <c r="AB74" s="1551" t="str">
        <f>"% of miles on f2 for Tech "&amp; RIGHT(O70)&amp;" adopters"</f>
        <v>% of miles on f2 for Tech A adopters</v>
      </c>
      <c r="AC74" s="1552"/>
      <c r="AD74" s="1553"/>
      <c r="AE74" s="1173" t="s">
        <v>298</v>
      </c>
      <c r="AF74" s="1173"/>
      <c r="AG74" s="1173"/>
      <c r="AH74" s="1174" t="s">
        <v>307</v>
      </c>
      <c r="AI74" s="1175"/>
      <c r="AJ74" s="1170"/>
      <c r="AK74"/>
      <c r="AL74"/>
      <c r="AM74"/>
      <c r="AN74"/>
      <c r="AO74"/>
      <c r="AP74"/>
      <c r="AQ74"/>
      <c r="AR74"/>
      <c r="AS74"/>
      <c r="AT74"/>
      <c r="AU74"/>
    </row>
    <row r="75" spans="1:60" ht="13.5" thickBot="1" x14ac:dyDescent="0.25">
      <c r="A75" s="942" t="s">
        <v>266</v>
      </c>
      <c r="B75" s="933">
        <f t="array" ref="B75:L75">TRANSPOSE(Cls1CentVMT/OPDAYS_Cls1)</f>
        <v>51.642967609234425</v>
      </c>
      <c r="C75" s="934">
        <v>110.97733417848234</v>
      </c>
      <c r="D75" s="934">
        <v>204.40224583551472</v>
      </c>
      <c r="E75" s="934">
        <v>290.24610572847212</v>
      </c>
      <c r="F75" s="934">
        <v>364.75750419264841</v>
      </c>
      <c r="G75" s="934">
        <v>443.63126889109378</v>
      </c>
      <c r="H75" s="934">
        <v>506.78134229373978</v>
      </c>
      <c r="I75" s="934">
        <v>595.71283413609137</v>
      </c>
      <c r="J75" s="934">
        <v>682.23089916089702</v>
      </c>
      <c r="K75" s="934">
        <v>765.26438827532684</v>
      </c>
      <c r="L75" s="935">
        <v>970.27871027310334</v>
      </c>
      <c r="M75" s="931"/>
      <c r="N75" s="932"/>
      <c r="O75" s="933">
        <f t="array" ref="O75:Y75">TRANSPOSE(Cls1NCentVMT/OPDAYS_Cls1)</f>
        <v>47.924548633512046</v>
      </c>
      <c r="P75" s="934">
        <v>112.56389213862748</v>
      </c>
      <c r="Q75" s="934">
        <v>214.67280220238027</v>
      </c>
      <c r="R75" s="934">
        <v>288.30186744262801</v>
      </c>
      <c r="S75" s="934">
        <v>368.60089210549245</v>
      </c>
      <c r="T75" s="934">
        <v>447.31558789932524</v>
      </c>
      <c r="U75" s="934">
        <v>511.28831950097862</v>
      </c>
      <c r="V75" s="934">
        <v>595.73726658362273</v>
      </c>
      <c r="W75" s="934">
        <v>672.11099195240695</v>
      </c>
      <c r="X75" s="934">
        <v>757.0793017898726</v>
      </c>
      <c r="Y75" s="935">
        <v>896.16800791754974</v>
      </c>
      <c r="Z75" s="943"/>
      <c r="AA75" s="932"/>
      <c r="AB75" s="945" t="s">
        <v>186</v>
      </c>
      <c r="AC75" s="946" t="s">
        <v>15</v>
      </c>
      <c r="AD75" s="947" t="s">
        <v>18</v>
      </c>
      <c r="AE75" s="937" t="s">
        <v>186</v>
      </c>
      <c r="AF75" s="937" t="s">
        <v>15</v>
      </c>
      <c r="AG75" s="937" t="s">
        <v>18</v>
      </c>
      <c r="AH75" s="1172" t="s">
        <v>186</v>
      </c>
      <c r="AI75" s="937" t="s">
        <v>15</v>
      </c>
      <c r="AJ75"/>
      <c r="AK75"/>
      <c r="AL75"/>
      <c r="AM75"/>
      <c r="AN75"/>
      <c r="AO75"/>
      <c r="AP75"/>
      <c r="AQ75"/>
      <c r="AR75"/>
      <c r="AS75"/>
      <c r="AT75"/>
      <c r="AU75"/>
    </row>
    <row r="76" spans="1:60" ht="13.5" thickTop="1" x14ac:dyDescent="0.2">
      <c r="A76" s="941">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8">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49">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6">
        <f t="shared" ref="AD76:AD101" si="84">AB76*AH76+AC76*AI76</f>
        <v>0</v>
      </c>
      <c r="AE76" s="937">
        <f t="shared" ref="AE76:AE90" si="85">SUMPRODUCT($B$74:$L$74,B76:L76)</f>
        <v>0</v>
      </c>
      <c r="AF76" s="937">
        <f t="shared" ref="AF76:AF90" si="86">SUMPRODUCT($O$74:$Y$74,O76:Y76)</f>
        <v>0</v>
      </c>
      <c r="AG76" s="937">
        <f t="shared" ref="AG76:AG90" si="87">SUM(AE76:AF76)</f>
        <v>0</v>
      </c>
      <c r="AH76" s="1172">
        <f>IF(AG76&gt;0,AE76/AG76,0)</f>
        <v>0</v>
      </c>
      <c r="AI76" s="937">
        <f>IF(AG76&gt;0,AF76/AG76,0)</f>
        <v>0</v>
      </c>
      <c r="AJ76"/>
      <c r="AK76"/>
      <c r="AL76"/>
      <c r="AM76" s="1171"/>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8">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49">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6">
        <f t="shared" si="84"/>
        <v>0</v>
      </c>
      <c r="AE77" s="937">
        <f t="shared" si="85"/>
        <v>0</v>
      </c>
      <c r="AF77" s="937">
        <f t="shared" si="86"/>
        <v>0</v>
      </c>
      <c r="AG77" s="937">
        <f t="shared" si="87"/>
        <v>0</v>
      </c>
      <c r="AH77" s="1172">
        <f t="shared" ref="AH77:AH119" si="88">IF(AG77&gt;0,AE77/AG77,0)</f>
        <v>0</v>
      </c>
      <c r="AI77" s="937">
        <f t="shared" ref="AI77:AI119" si="89">IF(AG77&gt;0,AF77/AG77,0)</f>
        <v>0</v>
      </c>
      <c r="AJ77"/>
      <c r="AK77"/>
      <c r="AL77"/>
      <c r="AM77" s="1171"/>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8">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49">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6">
        <f t="shared" si="84"/>
        <v>0</v>
      </c>
      <c r="AE78" s="937">
        <f t="shared" si="85"/>
        <v>0</v>
      </c>
      <c r="AF78" s="937">
        <f t="shared" si="86"/>
        <v>0</v>
      </c>
      <c r="AG78" s="937">
        <f t="shared" si="87"/>
        <v>0</v>
      </c>
      <c r="AH78" s="1172">
        <f t="shared" si="88"/>
        <v>0</v>
      </c>
      <c r="AI78" s="937">
        <f t="shared" si="89"/>
        <v>0</v>
      </c>
      <c r="AJ78"/>
      <c r="AK78"/>
      <c r="AL78"/>
      <c r="AM78" s="1171"/>
      <c r="AN78"/>
      <c r="AO78"/>
      <c r="AP78"/>
      <c r="AQ78"/>
      <c r="AR78"/>
      <c r="AS78"/>
      <c r="AT78"/>
      <c r="AU78"/>
    </row>
    <row r="79" spans="1:60" ht="13.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8">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49">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6">
        <f t="shared" si="84"/>
        <v>0</v>
      </c>
      <c r="AE79" s="937">
        <f t="shared" si="85"/>
        <v>0</v>
      </c>
      <c r="AF79" s="937">
        <f t="shared" si="86"/>
        <v>0</v>
      </c>
      <c r="AG79" s="937">
        <f t="shared" si="87"/>
        <v>0</v>
      </c>
      <c r="AH79" s="1172">
        <f t="shared" si="88"/>
        <v>0</v>
      </c>
      <c r="AI79" s="937">
        <f t="shared" si="89"/>
        <v>0</v>
      </c>
      <c r="AJ79" s="1169"/>
      <c r="AK79" s="1169"/>
      <c r="AL79" s="1169"/>
      <c r="AM79" s="1171"/>
      <c r="AN79" s="1169"/>
      <c r="AO79" s="1169"/>
      <c r="AP79" s="1169"/>
      <c r="AQ79" s="1169"/>
      <c r="AR79" s="1169"/>
      <c r="AS79" s="1169"/>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8">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49">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6">
        <f t="shared" si="84"/>
        <v>0</v>
      </c>
      <c r="AE80" s="937">
        <f t="shared" si="85"/>
        <v>0</v>
      </c>
      <c r="AF80" s="937">
        <f t="shared" si="86"/>
        <v>0</v>
      </c>
      <c r="AG80" s="937">
        <f t="shared" si="87"/>
        <v>0</v>
      </c>
      <c r="AH80" s="1172">
        <f t="shared" si="88"/>
        <v>0</v>
      </c>
      <c r="AI80" s="937">
        <f t="shared" si="89"/>
        <v>0</v>
      </c>
      <c r="AJ80" s="1169"/>
      <c r="AK80" s="1169"/>
      <c r="AL80" s="1169"/>
      <c r="AM80" s="1171"/>
      <c r="AN80" s="1169"/>
      <c r="AO80" s="1169"/>
      <c r="AP80" s="1169"/>
      <c r="AQ80" s="1169"/>
      <c r="AR80" s="1169"/>
      <c r="AS80" s="1169"/>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8">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49">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6">
        <f t="shared" si="84"/>
        <v>0</v>
      </c>
      <c r="AE81" s="937">
        <f t="shared" si="85"/>
        <v>0</v>
      </c>
      <c r="AF81" s="937">
        <f t="shared" si="86"/>
        <v>0</v>
      </c>
      <c r="AG81" s="937">
        <f t="shared" si="87"/>
        <v>0</v>
      </c>
      <c r="AH81" s="1172">
        <f t="shared" si="88"/>
        <v>0</v>
      </c>
      <c r="AI81" s="937">
        <f t="shared" si="89"/>
        <v>0</v>
      </c>
      <c r="AJ81" s="1169"/>
      <c r="AK81" s="1169"/>
      <c r="AL81" s="1169"/>
      <c r="AM81" s="1171"/>
      <c r="AN81" s="1169"/>
      <c r="AO81" s="1169"/>
      <c r="AP81" s="1169"/>
      <c r="AQ81" s="1169"/>
      <c r="AR81" s="1169"/>
      <c r="AS81" s="1169"/>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8">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49">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6">
        <f t="shared" si="84"/>
        <v>0</v>
      </c>
      <c r="AE82" s="937">
        <f t="shared" si="85"/>
        <v>0</v>
      </c>
      <c r="AF82" s="937">
        <f t="shared" si="86"/>
        <v>0</v>
      </c>
      <c r="AG82" s="937">
        <f t="shared" si="87"/>
        <v>0</v>
      </c>
      <c r="AH82" s="1172">
        <f t="shared" si="88"/>
        <v>0</v>
      </c>
      <c r="AI82" s="937">
        <f t="shared" si="89"/>
        <v>0</v>
      </c>
      <c r="AJ82" s="1169"/>
      <c r="AK82" s="1169"/>
      <c r="AL82" s="1169"/>
      <c r="AM82" s="1171"/>
      <c r="AN82" s="1169"/>
      <c r="AO82" s="1169"/>
      <c r="AP82" s="1169"/>
      <c r="AQ82" s="1169"/>
      <c r="AR82" s="1169"/>
      <c r="AS82" s="1169"/>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8">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49">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6">
        <f t="shared" si="84"/>
        <v>0</v>
      </c>
      <c r="AE83" s="937">
        <f t="shared" si="85"/>
        <v>0</v>
      </c>
      <c r="AF83" s="937">
        <f t="shared" si="86"/>
        <v>0</v>
      </c>
      <c r="AG83" s="937">
        <f t="shared" si="87"/>
        <v>0</v>
      </c>
      <c r="AH83" s="1172">
        <f t="shared" si="88"/>
        <v>0</v>
      </c>
      <c r="AI83" s="937">
        <f t="shared" si="89"/>
        <v>0</v>
      </c>
      <c r="AJ83" s="1169"/>
      <c r="AK83" s="1169"/>
      <c r="AL83" s="1169"/>
      <c r="AM83" s="1171"/>
      <c r="AN83" s="1169"/>
      <c r="AO83" s="1169"/>
      <c r="AP83" s="1169"/>
      <c r="AQ83" s="1169"/>
      <c r="AR83" s="1169"/>
      <c r="AS83" s="1169"/>
    </row>
    <row r="84" spans="1:45" ht="13.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8">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49">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6">
        <f t="shared" si="84"/>
        <v>0</v>
      </c>
      <c r="AE84" s="937">
        <f t="shared" si="85"/>
        <v>0</v>
      </c>
      <c r="AF84" s="937">
        <f t="shared" si="86"/>
        <v>0</v>
      </c>
      <c r="AG84" s="937">
        <f t="shared" si="87"/>
        <v>0</v>
      </c>
      <c r="AH84" s="1172">
        <f t="shared" si="88"/>
        <v>0</v>
      </c>
      <c r="AI84" s="937">
        <f t="shared" si="89"/>
        <v>0</v>
      </c>
      <c r="AJ84" s="1169"/>
      <c r="AK84" s="1169"/>
      <c r="AL84" s="1169"/>
      <c r="AM84" s="1171"/>
      <c r="AN84" s="1169"/>
      <c r="AO84" s="1169"/>
      <c r="AP84" s="1169"/>
      <c r="AQ84" s="1169"/>
      <c r="AR84" s="1169"/>
      <c r="AS84" s="1169"/>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8">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49">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6">
        <f t="shared" si="84"/>
        <v>0</v>
      </c>
      <c r="AE85" s="937">
        <f t="shared" si="85"/>
        <v>0</v>
      </c>
      <c r="AF85" s="937">
        <f t="shared" si="86"/>
        <v>0</v>
      </c>
      <c r="AG85" s="937">
        <f t="shared" si="87"/>
        <v>0</v>
      </c>
      <c r="AH85" s="1172">
        <f t="shared" si="88"/>
        <v>0</v>
      </c>
      <c r="AI85" s="937">
        <f t="shared" si="89"/>
        <v>0</v>
      </c>
      <c r="AJ85" s="1169"/>
      <c r="AK85" s="1169"/>
      <c r="AL85" s="1169"/>
      <c r="AM85" s="1171"/>
      <c r="AN85" s="1169"/>
      <c r="AO85" s="1169"/>
      <c r="AP85" s="1169"/>
      <c r="AQ85" s="1169"/>
      <c r="AR85" s="1169"/>
      <c r="AS85" s="1169"/>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8">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49">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6">
        <f t="shared" si="84"/>
        <v>0</v>
      </c>
      <c r="AE86" s="937">
        <f t="shared" si="85"/>
        <v>0</v>
      </c>
      <c r="AF86" s="937">
        <f t="shared" si="86"/>
        <v>0</v>
      </c>
      <c r="AG86" s="937">
        <f t="shared" si="87"/>
        <v>0</v>
      </c>
      <c r="AH86" s="1172">
        <f t="shared" si="88"/>
        <v>0</v>
      </c>
      <c r="AI86" s="937">
        <f t="shared" si="89"/>
        <v>0</v>
      </c>
      <c r="AJ86" s="1169"/>
      <c r="AK86" s="1169"/>
      <c r="AL86" s="1169"/>
      <c r="AM86" s="1171"/>
      <c r="AN86" s="1169"/>
      <c r="AO86" s="1169"/>
      <c r="AP86" s="1169"/>
      <c r="AQ86" s="1169"/>
      <c r="AR86" s="1169"/>
      <c r="AS86" s="1169"/>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8">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49">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6">
        <f t="shared" si="84"/>
        <v>0</v>
      </c>
      <c r="AE87" s="937">
        <f t="shared" si="85"/>
        <v>0</v>
      </c>
      <c r="AF87" s="937">
        <f t="shared" si="86"/>
        <v>0</v>
      </c>
      <c r="AG87" s="937">
        <f t="shared" si="87"/>
        <v>0</v>
      </c>
      <c r="AH87" s="1172">
        <f t="shared" si="88"/>
        <v>0</v>
      </c>
      <c r="AI87" s="937">
        <f t="shared" si="89"/>
        <v>0</v>
      </c>
      <c r="AJ87" s="1169"/>
      <c r="AK87" s="1169"/>
      <c r="AL87" s="1169"/>
      <c r="AM87" s="1171"/>
      <c r="AN87" s="1169"/>
      <c r="AO87" s="1169"/>
      <c r="AP87" s="1169"/>
      <c r="AQ87" s="1169"/>
      <c r="AR87" s="1169"/>
      <c r="AS87" s="1169"/>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8">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49">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6">
        <f t="shared" si="84"/>
        <v>0</v>
      </c>
      <c r="AE88" s="937">
        <f t="shared" si="85"/>
        <v>0</v>
      </c>
      <c r="AF88" s="937">
        <f t="shared" si="86"/>
        <v>0</v>
      </c>
      <c r="AG88" s="937">
        <f t="shared" si="87"/>
        <v>0</v>
      </c>
      <c r="AH88" s="1172">
        <f t="shared" si="88"/>
        <v>0</v>
      </c>
      <c r="AI88" s="937">
        <f t="shared" si="89"/>
        <v>0</v>
      </c>
      <c r="AJ88" s="1169"/>
      <c r="AK88" s="1169"/>
      <c r="AL88" s="1169"/>
      <c r="AM88" s="1171"/>
      <c r="AN88" s="1169"/>
      <c r="AO88" s="1169"/>
      <c r="AP88" s="1169"/>
      <c r="AQ88" s="1169"/>
      <c r="AR88" s="1169"/>
      <c r="AS88" s="1169"/>
    </row>
    <row r="89" spans="1:45" ht="13.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8">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49">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6">
        <f t="shared" si="84"/>
        <v>0</v>
      </c>
      <c r="AE89" s="937">
        <f t="shared" si="85"/>
        <v>0</v>
      </c>
      <c r="AF89" s="937">
        <f t="shared" si="86"/>
        <v>0</v>
      </c>
      <c r="AG89" s="937">
        <f t="shared" si="87"/>
        <v>0</v>
      </c>
      <c r="AH89" s="1172">
        <f t="shared" si="88"/>
        <v>0</v>
      </c>
      <c r="AI89" s="937">
        <f t="shared" si="89"/>
        <v>0</v>
      </c>
      <c r="AJ89" s="1169"/>
      <c r="AK89" s="1169"/>
      <c r="AL89" s="1169"/>
      <c r="AM89" s="1171"/>
      <c r="AN89" s="1169"/>
      <c r="AO89" s="1169"/>
      <c r="AP89" s="1169"/>
      <c r="AQ89" s="1169"/>
      <c r="AR89" s="1169"/>
      <c r="AS89" s="1169"/>
    </row>
    <row r="90" spans="1:45" x14ac:dyDescent="0.2">
      <c r="A90" s="329">
        <v>2021</v>
      </c>
      <c r="B90" s="342">
        <v>0</v>
      </c>
      <c r="C90" s="343">
        <v>0</v>
      </c>
      <c r="D90" s="343">
        <v>0</v>
      </c>
      <c r="E90" s="343">
        <v>0</v>
      </c>
      <c r="F90" s="343">
        <v>0</v>
      </c>
      <c r="G90" s="343">
        <v>0</v>
      </c>
      <c r="H90" s="343">
        <v>0</v>
      </c>
      <c r="I90" s="343">
        <v>0</v>
      </c>
      <c r="J90" s="343">
        <v>0</v>
      </c>
      <c r="K90" s="343">
        <v>0</v>
      </c>
      <c r="L90" s="379">
        <v>0</v>
      </c>
      <c r="M90" s="282">
        <f t="shared" si="80"/>
        <v>0</v>
      </c>
      <c r="N90" s="284">
        <f t="shared" si="81"/>
        <v>0</v>
      </c>
      <c r="O90" s="342">
        <v>0</v>
      </c>
      <c r="P90" s="343">
        <v>0</v>
      </c>
      <c r="Q90" s="343">
        <v>0</v>
      </c>
      <c r="R90" s="343">
        <v>0</v>
      </c>
      <c r="S90" s="343">
        <v>0</v>
      </c>
      <c r="T90" s="343">
        <v>0</v>
      </c>
      <c r="U90" s="343">
        <v>0</v>
      </c>
      <c r="V90" s="343">
        <v>0</v>
      </c>
      <c r="W90" s="343">
        <v>0</v>
      </c>
      <c r="X90" s="343">
        <v>0</v>
      </c>
      <c r="Y90" s="379">
        <v>0</v>
      </c>
      <c r="Z90" s="282">
        <f t="shared" si="82"/>
        <v>0</v>
      </c>
      <c r="AA90" s="284">
        <f t="shared" si="83"/>
        <v>0</v>
      </c>
      <c r="AB90" s="948">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49">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6">
        <f t="shared" si="84"/>
        <v>0</v>
      </c>
      <c r="AE90" s="937">
        <f t="shared" si="85"/>
        <v>0</v>
      </c>
      <c r="AF90" s="937">
        <f t="shared" si="86"/>
        <v>0</v>
      </c>
      <c r="AG90" s="937">
        <f t="shared" si="87"/>
        <v>0</v>
      </c>
      <c r="AH90" s="1172">
        <f t="shared" si="88"/>
        <v>0</v>
      </c>
      <c r="AI90" s="937">
        <f t="shared" si="89"/>
        <v>0</v>
      </c>
      <c r="AJ90" s="1169"/>
      <c r="AK90" s="1169"/>
      <c r="AL90" s="1169"/>
      <c r="AM90" s="1171"/>
      <c r="AN90" s="1169"/>
      <c r="AO90" s="1169"/>
      <c r="AP90" s="1169"/>
      <c r="AQ90" s="1169"/>
      <c r="AR90" s="1169"/>
      <c r="AS90" s="1169"/>
    </row>
    <row r="91" spans="1:45" x14ac:dyDescent="0.2">
      <c r="A91" s="330">
        <v>2022</v>
      </c>
      <c r="B91" s="344">
        <v>0</v>
      </c>
      <c r="C91" s="345">
        <v>0</v>
      </c>
      <c r="D91" s="345">
        <v>0</v>
      </c>
      <c r="E91" s="345">
        <v>0</v>
      </c>
      <c r="F91" s="345">
        <v>0</v>
      </c>
      <c r="G91" s="345">
        <v>0</v>
      </c>
      <c r="H91" s="345">
        <v>0</v>
      </c>
      <c r="I91" s="345">
        <v>0</v>
      </c>
      <c r="J91" s="345">
        <v>0</v>
      </c>
      <c r="K91" s="345">
        <v>0</v>
      </c>
      <c r="L91" s="380">
        <v>0</v>
      </c>
      <c r="M91" s="296">
        <f t="shared" si="80"/>
        <v>0</v>
      </c>
      <c r="N91" s="298">
        <f t="shared" si="81"/>
        <v>0</v>
      </c>
      <c r="O91" s="344">
        <v>0</v>
      </c>
      <c r="P91" s="345">
        <v>0</v>
      </c>
      <c r="Q91" s="345">
        <v>0</v>
      </c>
      <c r="R91" s="345">
        <v>0</v>
      </c>
      <c r="S91" s="345">
        <v>0</v>
      </c>
      <c r="T91" s="345">
        <v>0</v>
      </c>
      <c r="U91" s="345">
        <v>0</v>
      </c>
      <c r="V91" s="345">
        <v>0</v>
      </c>
      <c r="W91" s="345">
        <v>0</v>
      </c>
      <c r="X91" s="345">
        <v>0</v>
      </c>
      <c r="Y91" s="380">
        <v>0</v>
      </c>
      <c r="Z91" s="296">
        <f t="shared" si="82"/>
        <v>0</v>
      </c>
      <c r="AA91" s="298">
        <f t="shared" si="83"/>
        <v>0</v>
      </c>
      <c r="AB91" s="948">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49">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6">
        <f t="shared" si="84"/>
        <v>0</v>
      </c>
      <c r="AE91" s="937">
        <f>SUMPRODUCT($B$74:$L$74,B91:L91)</f>
        <v>0</v>
      </c>
      <c r="AF91" s="937">
        <f>SUMPRODUCT($O$74:$Y$74,O91:Y91)</f>
        <v>0</v>
      </c>
      <c r="AG91" s="937">
        <f>SUM(AE91:AF91)</f>
        <v>0</v>
      </c>
      <c r="AH91" s="1172">
        <f t="shared" si="88"/>
        <v>0</v>
      </c>
      <c r="AI91" s="937">
        <f t="shared" si="89"/>
        <v>0</v>
      </c>
      <c r="AJ91" s="1169"/>
      <c r="AK91" s="1171"/>
      <c r="AL91" s="1171"/>
      <c r="AM91" s="1171"/>
      <c r="AN91" s="1169"/>
      <c r="AO91" s="1171"/>
      <c r="AP91" s="1169"/>
      <c r="AQ91" s="1169"/>
      <c r="AR91" s="1169"/>
      <c r="AS91" s="1169"/>
    </row>
    <row r="92" spans="1:45" x14ac:dyDescent="0.2">
      <c r="A92" s="330">
        <v>2023</v>
      </c>
      <c r="B92" s="344">
        <v>0</v>
      </c>
      <c r="C92" s="345">
        <v>0</v>
      </c>
      <c r="D92" s="345">
        <v>0</v>
      </c>
      <c r="E92" s="345">
        <v>0</v>
      </c>
      <c r="F92" s="345">
        <v>0</v>
      </c>
      <c r="G92" s="345">
        <v>0</v>
      </c>
      <c r="H92" s="345">
        <v>0</v>
      </c>
      <c r="I92" s="345">
        <v>0</v>
      </c>
      <c r="J92" s="345">
        <v>0</v>
      </c>
      <c r="K92" s="345">
        <v>0</v>
      </c>
      <c r="L92" s="380">
        <v>0</v>
      </c>
      <c r="M92" s="296">
        <f t="shared" si="80"/>
        <v>0</v>
      </c>
      <c r="N92" s="298">
        <f t="shared" si="81"/>
        <v>0</v>
      </c>
      <c r="O92" s="344">
        <v>0</v>
      </c>
      <c r="P92" s="345">
        <v>0</v>
      </c>
      <c r="Q92" s="345">
        <v>0</v>
      </c>
      <c r="R92" s="345">
        <v>0</v>
      </c>
      <c r="S92" s="345">
        <v>0</v>
      </c>
      <c r="T92" s="345">
        <v>0</v>
      </c>
      <c r="U92" s="345">
        <v>0</v>
      </c>
      <c r="V92" s="345">
        <v>0</v>
      </c>
      <c r="W92" s="345">
        <v>0</v>
      </c>
      <c r="X92" s="345">
        <v>0</v>
      </c>
      <c r="Y92" s="380">
        <v>0</v>
      </c>
      <c r="Z92" s="296">
        <f t="shared" si="82"/>
        <v>0</v>
      </c>
      <c r="AA92" s="298">
        <f t="shared" si="83"/>
        <v>0</v>
      </c>
      <c r="AB92" s="948">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49">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6">
        <f t="shared" si="84"/>
        <v>0</v>
      </c>
      <c r="AE92" s="937">
        <f t="shared" ref="AE92:AE119" si="90">SUMPRODUCT($B$74:$L$74,B92:L92)</f>
        <v>0</v>
      </c>
      <c r="AF92" s="937">
        <f t="shared" ref="AF92:AF119" si="91">SUMPRODUCT($O$74:$Y$74,O92:Y92)</f>
        <v>0</v>
      </c>
      <c r="AG92" s="937">
        <f t="shared" ref="AG92:AG119" si="92">SUM(AE92:AF92)</f>
        <v>0</v>
      </c>
      <c r="AH92" s="1172">
        <f t="shared" si="88"/>
        <v>0</v>
      </c>
      <c r="AI92" s="937">
        <f t="shared" si="89"/>
        <v>0</v>
      </c>
      <c r="AJ92" s="1169"/>
      <c r="AK92" s="1171"/>
      <c r="AL92" s="1171"/>
      <c r="AM92" s="1171"/>
      <c r="AN92" s="1169"/>
      <c r="AO92" s="1171"/>
      <c r="AP92" s="1169"/>
      <c r="AQ92" s="1169"/>
      <c r="AR92" s="1169"/>
      <c r="AS92" s="1169"/>
    </row>
    <row r="93" spans="1:45" x14ac:dyDescent="0.2">
      <c r="A93" s="330">
        <v>2024</v>
      </c>
      <c r="B93" s="344">
        <v>0</v>
      </c>
      <c r="C93" s="345">
        <v>0</v>
      </c>
      <c r="D93" s="345">
        <v>0</v>
      </c>
      <c r="E93" s="345">
        <v>0</v>
      </c>
      <c r="F93" s="345">
        <v>0</v>
      </c>
      <c r="G93" s="345">
        <v>0</v>
      </c>
      <c r="H93" s="345">
        <v>0</v>
      </c>
      <c r="I93" s="345">
        <v>0</v>
      </c>
      <c r="J93" s="345">
        <v>0</v>
      </c>
      <c r="K93" s="345">
        <v>0</v>
      </c>
      <c r="L93" s="380">
        <v>0</v>
      </c>
      <c r="M93" s="296">
        <f t="shared" si="80"/>
        <v>0</v>
      </c>
      <c r="N93" s="298">
        <f t="shared" si="81"/>
        <v>0</v>
      </c>
      <c r="O93" s="344">
        <v>0</v>
      </c>
      <c r="P93" s="345">
        <v>0</v>
      </c>
      <c r="Q93" s="345">
        <v>0</v>
      </c>
      <c r="R93" s="345">
        <v>0</v>
      </c>
      <c r="S93" s="345">
        <v>0</v>
      </c>
      <c r="T93" s="345">
        <v>0</v>
      </c>
      <c r="U93" s="345">
        <v>0</v>
      </c>
      <c r="V93" s="345">
        <v>0</v>
      </c>
      <c r="W93" s="345">
        <v>0</v>
      </c>
      <c r="X93" s="345">
        <v>0</v>
      </c>
      <c r="Y93" s="380">
        <v>0</v>
      </c>
      <c r="Z93" s="296">
        <f t="shared" si="82"/>
        <v>0</v>
      </c>
      <c r="AA93" s="298">
        <f t="shared" si="83"/>
        <v>0</v>
      </c>
      <c r="AB93" s="948">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49">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6">
        <f t="shared" si="84"/>
        <v>0</v>
      </c>
      <c r="AE93" s="937">
        <f t="shared" si="90"/>
        <v>0</v>
      </c>
      <c r="AF93" s="937">
        <f t="shared" si="91"/>
        <v>0</v>
      </c>
      <c r="AG93" s="937">
        <f t="shared" si="92"/>
        <v>0</v>
      </c>
      <c r="AH93" s="1172">
        <f t="shared" si="88"/>
        <v>0</v>
      </c>
      <c r="AI93" s="937">
        <f t="shared" si="89"/>
        <v>0</v>
      </c>
      <c r="AJ93" s="1169"/>
      <c r="AK93" s="1171"/>
      <c r="AL93" s="1171"/>
      <c r="AM93" s="1171"/>
      <c r="AN93" s="1169"/>
      <c r="AO93" s="1171"/>
      <c r="AP93" s="1169"/>
      <c r="AQ93" s="1169"/>
      <c r="AR93" s="1169"/>
      <c r="AS93" s="1169"/>
    </row>
    <row r="94" spans="1:45" ht="13.5" thickBot="1" x14ac:dyDescent="0.25">
      <c r="A94" s="328">
        <v>2025</v>
      </c>
      <c r="B94" s="346">
        <v>0</v>
      </c>
      <c r="C94" s="347">
        <v>0</v>
      </c>
      <c r="D94" s="347">
        <v>0</v>
      </c>
      <c r="E94" s="347">
        <v>0</v>
      </c>
      <c r="F94" s="347">
        <v>0</v>
      </c>
      <c r="G94" s="347">
        <v>0</v>
      </c>
      <c r="H94" s="347">
        <v>0</v>
      </c>
      <c r="I94" s="347">
        <v>0</v>
      </c>
      <c r="J94" s="347">
        <v>0</v>
      </c>
      <c r="K94" s="347">
        <v>0</v>
      </c>
      <c r="L94" s="381">
        <v>0</v>
      </c>
      <c r="M94" s="310">
        <f t="shared" si="80"/>
        <v>0</v>
      </c>
      <c r="N94" s="312">
        <f t="shared" si="81"/>
        <v>0</v>
      </c>
      <c r="O94" s="346">
        <v>0</v>
      </c>
      <c r="P94" s="347">
        <v>0</v>
      </c>
      <c r="Q94" s="347">
        <v>0</v>
      </c>
      <c r="R94" s="347">
        <v>0</v>
      </c>
      <c r="S94" s="347">
        <v>0</v>
      </c>
      <c r="T94" s="347">
        <v>0</v>
      </c>
      <c r="U94" s="347">
        <v>0</v>
      </c>
      <c r="V94" s="347">
        <v>0</v>
      </c>
      <c r="W94" s="347">
        <v>0</v>
      </c>
      <c r="X94" s="347">
        <v>0</v>
      </c>
      <c r="Y94" s="381">
        <v>0</v>
      </c>
      <c r="Z94" s="310">
        <f t="shared" si="82"/>
        <v>0</v>
      </c>
      <c r="AA94" s="312">
        <f t="shared" si="83"/>
        <v>0</v>
      </c>
      <c r="AB94" s="948">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49">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6">
        <f t="shared" si="84"/>
        <v>0</v>
      </c>
      <c r="AE94" s="937">
        <f t="shared" si="90"/>
        <v>0</v>
      </c>
      <c r="AF94" s="937">
        <f t="shared" si="91"/>
        <v>0</v>
      </c>
      <c r="AG94" s="937">
        <f t="shared" si="92"/>
        <v>0</v>
      </c>
      <c r="AH94" s="1172">
        <f t="shared" si="88"/>
        <v>0</v>
      </c>
      <c r="AI94" s="937">
        <f t="shared" si="89"/>
        <v>0</v>
      </c>
      <c r="AJ94" s="1169"/>
      <c r="AK94" s="1171"/>
      <c r="AL94" s="1171"/>
      <c r="AM94" s="1171"/>
      <c r="AN94" s="1169"/>
      <c r="AO94" s="1171"/>
      <c r="AP94" s="1169"/>
      <c r="AQ94" s="1169"/>
      <c r="AR94" s="1169"/>
      <c r="AS94" s="1169"/>
    </row>
    <row r="95" spans="1:45" x14ac:dyDescent="0.2">
      <c r="A95" s="329">
        <v>2026</v>
      </c>
      <c r="B95" s="342">
        <v>0</v>
      </c>
      <c r="C95" s="343">
        <v>0</v>
      </c>
      <c r="D95" s="343">
        <v>8.1671118702765445E-4</v>
      </c>
      <c r="E95" s="343">
        <v>6.3685473166576363E-3</v>
      </c>
      <c r="F95" s="343">
        <v>1.19708694779685E-2</v>
      </c>
      <c r="G95" s="343">
        <v>1.6679697717353607E-2</v>
      </c>
      <c r="H95" s="343">
        <v>1.8229883289594535E-2</v>
      </c>
      <c r="I95" s="343">
        <v>2.0083163840713857E-2</v>
      </c>
      <c r="J95" s="343">
        <v>2.1018624395211089E-2</v>
      </c>
      <c r="K95" s="343">
        <v>2.2267074639801047E-2</v>
      </c>
      <c r="L95" s="379">
        <v>2.3321973408436631E-2</v>
      </c>
      <c r="M95" s="282">
        <f t="shared" si="80"/>
        <v>3.7972461725194581E-3</v>
      </c>
      <c r="N95" s="284">
        <f t="shared" si="81"/>
        <v>3.3710215733733792E-3</v>
      </c>
      <c r="O95" s="342">
        <v>0</v>
      </c>
      <c r="P95" s="343">
        <v>0</v>
      </c>
      <c r="Q95" s="343">
        <v>1.7364819476331744E-3</v>
      </c>
      <c r="R95" s="343">
        <v>7.6028499868684794E-3</v>
      </c>
      <c r="S95" s="343">
        <v>1.3646568640044323E-2</v>
      </c>
      <c r="T95" s="343">
        <v>1.7053863017231663E-2</v>
      </c>
      <c r="U95" s="343">
        <v>1.9041041899470673E-2</v>
      </c>
      <c r="V95" s="343">
        <v>2.0809686124380163E-2</v>
      </c>
      <c r="W95" s="343">
        <v>2.1668222207060203E-2</v>
      </c>
      <c r="X95" s="343">
        <v>2.2807940298022751E-2</v>
      </c>
      <c r="Y95" s="379">
        <v>2.3321973408436631E-2</v>
      </c>
      <c r="Z95" s="282">
        <f t="shared" si="82"/>
        <v>1.367553963565879E-2</v>
      </c>
      <c r="AA95" s="284">
        <f t="shared" si="83"/>
        <v>1.2159588258635414E-2</v>
      </c>
      <c r="AB95" s="948">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49">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6">
        <f t="shared" si="84"/>
        <v>0</v>
      </c>
      <c r="AE95" s="937">
        <f t="shared" si="90"/>
        <v>3.7972461725194581E-3</v>
      </c>
      <c r="AF95" s="937">
        <f t="shared" si="91"/>
        <v>1.367553963565879E-2</v>
      </c>
      <c r="AG95" s="937">
        <f t="shared" si="92"/>
        <v>1.7472785808178248E-2</v>
      </c>
      <c r="AH95" s="1172">
        <f t="shared" si="88"/>
        <v>0.21732345455423216</v>
      </c>
      <c r="AI95" s="937">
        <f t="shared" si="89"/>
        <v>0.78267654544576781</v>
      </c>
      <c r="AJ95" s="1169"/>
      <c r="AK95" s="1171"/>
      <c r="AL95" s="1171"/>
      <c r="AM95" s="1171"/>
      <c r="AN95" s="1169"/>
      <c r="AO95" s="1171"/>
      <c r="AP95" s="1169"/>
      <c r="AQ95" s="1169"/>
      <c r="AR95" s="1169"/>
      <c r="AS95" s="1169"/>
    </row>
    <row r="96" spans="1:45" x14ac:dyDescent="0.2">
      <c r="A96" s="330">
        <v>2027</v>
      </c>
      <c r="B96" s="344">
        <v>0</v>
      </c>
      <c r="C96" s="345">
        <v>0</v>
      </c>
      <c r="D96" s="345">
        <v>1.9214356726998265E-5</v>
      </c>
      <c r="E96" s="345">
        <v>2.0575381312150256E-3</v>
      </c>
      <c r="F96" s="345">
        <v>8.2068213028238367E-3</v>
      </c>
      <c r="G96" s="345">
        <v>1.7159765440919378E-2</v>
      </c>
      <c r="H96" s="345">
        <v>2.4333799131268215E-2</v>
      </c>
      <c r="I96" s="345">
        <v>3.1702392150633196E-2</v>
      </c>
      <c r="J96" s="345">
        <v>3.8953544559032854E-2</v>
      </c>
      <c r="K96" s="345">
        <v>4.3528253565384999E-2</v>
      </c>
      <c r="L96" s="380">
        <v>5.0813767727854765E-2</v>
      </c>
      <c r="M96" s="296">
        <f t="shared" si="80"/>
        <v>5.2149218585258216E-3</v>
      </c>
      <c r="N96" s="298">
        <f t="shared" si="81"/>
        <v>4.216835981592987E-3</v>
      </c>
      <c r="O96" s="344">
        <v>0</v>
      </c>
      <c r="P96" s="345">
        <v>0</v>
      </c>
      <c r="Q96" s="345">
        <v>1.0947996736204584E-4</v>
      </c>
      <c r="R96" s="345">
        <v>2.6497173600489444E-3</v>
      </c>
      <c r="S96" s="345">
        <v>1.0547410079075456E-2</v>
      </c>
      <c r="T96" s="345">
        <v>1.9429119833086893E-2</v>
      </c>
      <c r="U96" s="345">
        <v>2.791860505804333E-2</v>
      </c>
      <c r="V96" s="345">
        <v>3.4950539198395178E-2</v>
      </c>
      <c r="W96" s="345">
        <v>3.9595485828613941E-2</v>
      </c>
      <c r="X96" s="345">
        <v>4.489472903625856E-2</v>
      </c>
      <c r="Y96" s="380">
        <v>5.0420231442815384E-2</v>
      </c>
      <c r="Z96" s="296">
        <f t="shared" si="82"/>
        <v>1.9791741978187453E-2</v>
      </c>
      <c r="AA96" s="298">
        <f t="shared" si="83"/>
        <v>1.6407735337436218E-2</v>
      </c>
      <c r="AB96" s="948">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49">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6">
        <f t="shared" si="84"/>
        <v>0</v>
      </c>
      <c r="AE96" s="937">
        <f t="shared" si="90"/>
        <v>5.2149218585258216E-3</v>
      </c>
      <c r="AF96" s="937">
        <f t="shared" si="91"/>
        <v>1.9791741978187453E-2</v>
      </c>
      <c r="AG96" s="937">
        <f t="shared" si="92"/>
        <v>2.5006663836713273E-2</v>
      </c>
      <c r="AH96" s="1172">
        <f t="shared" si="88"/>
        <v>0.20854128693766771</v>
      </c>
      <c r="AI96" s="937">
        <f t="shared" si="89"/>
        <v>0.79145871306233229</v>
      </c>
      <c r="AJ96" s="1169"/>
      <c r="AK96" s="1171"/>
      <c r="AL96" s="1171"/>
      <c r="AM96" s="1171"/>
      <c r="AN96" s="1169"/>
      <c r="AO96" s="1171"/>
      <c r="AP96" s="1169"/>
      <c r="AQ96" s="1169"/>
      <c r="AR96" s="1169"/>
      <c r="AS96" s="1169"/>
    </row>
    <row r="97" spans="1:45" x14ac:dyDescent="0.2">
      <c r="A97" s="330">
        <v>2028</v>
      </c>
      <c r="B97" s="344">
        <v>0</v>
      </c>
      <c r="C97" s="345">
        <v>3.3357102274122823E-4</v>
      </c>
      <c r="D97" s="345">
        <v>5.2133317649621341E-2</v>
      </c>
      <c r="E97" s="345">
        <v>0.11009181082086779</v>
      </c>
      <c r="F97" s="345">
        <v>0.12634194147177477</v>
      </c>
      <c r="G97" s="345">
        <v>0.13717270303683357</v>
      </c>
      <c r="H97" s="345">
        <v>0.1374133385719464</v>
      </c>
      <c r="I97" s="345">
        <v>0.13961528239282178</v>
      </c>
      <c r="J97" s="345">
        <v>0.13649875162749667</v>
      </c>
      <c r="K97" s="345">
        <v>0.14146070986134845</v>
      </c>
      <c r="L97" s="380">
        <v>0.13828104945313505</v>
      </c>
      <c r="M97" s="296">
        <f t="shared" si="80"/>
        <v>3.0190516270237083E-2</v>
      </c>
      <c r="N97" s="298">
        <f t="shared" si="81"/>
        <v>2.8793870874531793E-2</v>
      </c>
      <c r="O97" s="344">
        <v>0</v>
      </c>
      <c r="P97" s="345">
        <v>7.7843430757407205E-4</v>
      </c>
      <c r="Q97" s="345">
        <v>7.0671027169692618E-2</v>
      </c>
      <c r="R97" s="345">
        <v>0.113494248869943</v>
      </c>
      <c r="S97" s="345">
        <v>0.12790997127811077</v>
      </c>
      <c r="T97" s="345">
        <v>0.13741616276669305</v>
      </c>
      <c r="U97" s="345">
        <v>0.1401738991547869</v>
      </c>
      <c r="V97" s="345">
        <v>0.14153722214065392</v>
      </c>
      <c r="W97" s="345">
        <v>0.14046743995527741</v>
      </c>
      <c r="X97" s="345">
        <v>0.13932591031253949</v>
      </c>
      <c r="Y97" s="380">
        <v>0.13815141972465406</v>
      </c>
      <c r="Z97" s="296">
        <f t="shared" si="82"/>
        <v>0.10354165485670033</v>
      </c>
      <c r="AA97" s="298">
        <f t="shared" si="83"/>
        <v>9.6683470144389022E-2</v>
      </c>
      <c r="AB97" s="948">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49">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6">
        <f t="shared" si="84"/>
        <v>0</v>
      </c>
      <c r="AE97" s="937">
        <f t="shared" si="90"/>
        <v>3.0190516270237083E-2</v>
      </c>
      <c r="AF97" s="937">
        <f t="shared" si="91"/>
        <v>0.10354165485670033</v>
      </c>
      <c r="AG97" s="937">
        <f t="shared" si="92"/>
        <v>0.13373217112693742</v>
      </c>
      <c r="AH97" s="1172">
        <f t="shared" si="88"/>
        <v>0.22575357908143515</v>
      </c>
      <c r="AI97" s="937">
        <f t="shared" si="89"/>
        <v>0.77424642091856488</v>
      </c>
      <c r="AJ97" s="1169"/>
      <c r="AK97" s="1171"/>
      <c r="AL97" s="1171"/>
      <c r="AM97" s="1171"/>
      <c r="AN97" s="1169"/>
      <c r="AO97" s="1171"/>
      <c r="AP97" s="1169"/>
      <c r="AQ97" s="1169"/>
      <c r="AR97" s="1169"/>
      <c r="AS97" s="1169"/>
    </row>
    <row r="98" spans="1:45" x14ac:dyDescent="0.2">
      <c r="A98" s="330">
        <v>2029</v>
      </c>
      <c r="B98" s="344">
        <v>0</v>
      </c>
      <c r="C98" s="345">
        <v>3.7382037888329558E-3</v>
      </c>
      <c r="D98" s="345">
        <v>0.14656652455511096</v>
      </c>
      <c r="E98" s="345">
        <v>0.23218822249573787</v>
      </c>
      <c r="F98" s="345">
        <v>0.26024661444191322</v>
      </c>
      <c r="G98" s="345">
        <v>0.26731725283206609</v>
      </c>
      <c r="H98" s="345">
        <v>0.27048319698723366</v>
      </c>
      <c r="I98" s="345">
        <v>0.25826188147380114</v>
      </c>
      <c r="J98" s="345">
        <v>0.2629636169850979</v>
      </c>
      <c r="K98" s="345">
        <v>0.26370083878690603</v>
      </c>
      <c r="L98" s="380">
        <v>0.25705221620354801</v>
      </c>
      <c r="M98" s="296">
        <f t="shared" si="80"/>
        <v>5.9305820351815551E-2</v>
      </c>
      <c r="N98" s="298">
        <f t="shared" si="81"/>
        <v>5.7377752181272196E-2</v>
      </c>
      <c r="O98" s="344">
        <v>0</v>
      </c>
      <c r="P98" s="345">
        <v>7.7826027281599807E-3</v>
      </c>
      <c r="Q98" s="345">
        <v>0.17551843983412505</v>
      </c>
      <c r="R98" s="345">
        <v>0.24246786776879037</v>
      </c>
      <c r="S98" s="345">
        <v>0.26121960206279832</v>
      </c>
      <c r="T98" s="345">
        <v>0.26631267741726256</v>
      </c>
      <c r="U98" s="345">
        <v>0.25953387948742018</v>
      </c>
      <c r="V98" s="345">
        <v>0.26572087367997849</v>
      </c>
      <c r="W98" s="345">
        <v>0.2629636169850979</v>
      </c>
      <c r="X98" s="345">
        <v>0.26006162834237939</v>
      </c>
      <c r="Y98" s="380">
        <v>0.25705221620354801</v>
      </c>
      <c r="Z98" s="296">
        <f t="shared" si="82"/>
        <v>0.19822621037634061</v>
      </c>
      <c r="AA98" s="298">
        <f t="shared" si="83"/>
        <v>0.18731066302506399</v>
      </c>
      <c r="AB98" s="948">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49">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6">
        <f t="shared" si="84"/>
        <v>0</v>
      </c>
      <c r="AE98" s="937">
        <f t="shared" si="90"/>
        <v>5.9305820351815551E-2</v>
      </c>
      <c r="AF98" s="937">
        <f t="shared" si="91"/>
        <v>0.19822621037634061</v>
      </c>
      <c r="AG98" s="937">
        <f t="shared" si="92"/>
        <v>0.25753203072815617</v>
      </c>
      <c r="AH98" s="1172">
        <f t="shared" si="88"/>
        <v>0.23028521999431273</v>
      </c>
      <c r="AI98" s="937">
        <f t="shared" si="89"/>
        <v>0.76971478000568727</v>
      </c>
      <c r="AJ98" s="1169"/>
      <c r="AK98" s="1171"/>
      <c r="AL98" s="1171"/>
      <c r="AM98" s="1171"/>
      <c r="AN98" s="1169"/>
      <c r="AO98" s="1171"/>
      <c r="AP98" s="1169"/>
      <c r="AQ98" s="1169"/>
      <c r="AR98" s="1169"/>
      <c r="AS98" s="1169"/>
    </row>
    <row r="99" spans="1:45" ht="13.5" thickBot="1" x14ac:dyDescent="0.25">
      <c r="A99" s="328">
        <v>2030</v>
      </c>
      <c r="B99" s="346">
        <v>0</v>
      </c>
      <c r="C99" s="347">
        <v>3.7205179550670139E-2</v>
      </c>
      <c r="D99" s="347">
        <v>0.33712833557131627</v>
      </c>
      <c r="E99" s="347">
        <v>0.38702586099260233</v>
      </c>
      <c r="F99" s="347">
        <v>0.39991193977309236</v>
      </c>
      <c r="G99" s="347">
        <v>0.40849647256726107</v>
      </c>
      <c r="H99" s="347">
        <v>0.39567027857282605</v>
      </c>
      <c r="I99" s="347">
        <v>0.38443124590553213</v>
      </c>
      <c r="J99" s="347">
        <v>0.38018822813705522</v>
      </c>
      <c r="K99" s="347">
        <v>0.37998236762742166</v>
      </c>
      <c r="L99" s="381">
        <v>0.37110148037402529</v>
      </c>
      <c r="M99" s="310">
        <f t="shared" si="80"/>
        <v>8.941886555325454E-2</v>
      </c>
      <c r="N99" s="312">
        <f t="shared" si="81"/>
        <v>8.8086184665326486E-2</v>
      </c>
      <c r="O99" s="346">
        <v>0</v>
      </c>
      <c r="P99" s="347">
        <v>5.9491229488061959E-2</v>
      </c>
      <c r="Q99" s="347">
        <v>0.3580350388004529</v>
      </c>
      <c r="R99" s="347">
        <v>0.39904484159913173</v>
      </c>
      <c r="S99" s="347">
        <v>0.40710400266049412</v>
      </c>
      <c r="T99" s="347">
        <v>0.40013439715543325</v>
      </c>
      <c r="U99" s="347">
        <v>0.38846278050232147</v>
      </c>
      <c r="V99" s="347">
        <v>0.3913773811540755</v>
      </c>
      <c r="W99" s="347">
        <v>0.38477122220750598</v>
      </c>
      <c r="X99" s="347">
        <v>0.37578827175823987</v>
      </c>
      <c r="Y99" s="381">
        <v>0.37403466082515002</v>
      </c>
      <c r="Z99" s="310">
        <f t="shared" si="82"/>
        <v>0.29918923744671488</v>
      </c>
      <c r="AA99" s="312">
        <f t="shared" si="83"/>
        <v>0.28679284594007037</v>
      </c>
      <c r="AB99" s="948">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49">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6">
        <f t="shared" si="84"/>
        <v>0</v>
      </c>
      <c r="AE99" s="937">
        <f t="shared" si="90"/>
        <v>8.941886555325454E-2</v>
      </c>
      <c r="AF99" s="937">
        <f t="shared" si="91"/>
        <v>0.29918923744671488</v>
      </c>
      <c r="AG99" s="937">
        <f t="shared" si="92"/>
        <v>0.3886081029999694</v>
      </c>
      <c r="AH99" s="1172">
        <f t="shared" si="88"/>
        <v>0.23010036296968717</v>
      </c>
      <c r="AI99" s="937">
        <f t="shared" si="89"/>
        <v>0.76989963703031294</v>
      </c>
      <c r="AJ99" s="1169"/>
      <c r="AK99" s="1171"/>
      <c r="AL99" s="1171"/>
      <c r="AM99" s="1171"/>
      <c r="AN99" s="1169"/>
      <c r="AO99" s="1171"/>
      <c r="AP99" s="1169"/>
      <c r="AQ99" s="1169"/>
      <c r="AR99" s="1169"/>
      <c r="AS99" s="1169"/>
    </row>
    <row r="100" spans="1:45" x14ac:dyDescent="0.2">
      <c r="A100" s="329">
        <v>2031</v>
      </c>
      <c r="B100" s="342">
        <v>0</v>
      </c>
      <c r="C100" s="343">
        <v>8.9414352938958094E-2</v>
      </c>
      <c r="D100" s="343">
        <v>0.43851097343705864</v>
      </c>
      <c r="E100" s="343">
        <v>0.49400073131419714</v>
      </c>
      <c r="F100" s="343">
        <v>0.49743855985422503</v>
      </c>
      <c r="G100" s="343">
        <v>0.48588938924426667</v>
      </c>
      <c r="H100" s="343">
        <v>0.47896414920932751</v>
      </c>
      <c r="I100" s="343">
        <v>0.46441512457610856</v>
      </c>
      <c r="J100" s="343">
        <v>0.45775701391131823</v>
      </c>
      <c r="K100" s="343">
        <v>0.45491116547962351</v>
      </c>
      <c r="L100" s="379">
        <v>0.4470577648968016</v>
      </c>
      <c r="M100" s="282">
        <f t="shared" si="80"/>
        <v>0.10902242564566619</v>
      </c>
      <c r="N100" s="284">
        <f t="shared" si="81"/>
        <v>0.10817585408460288</v>
      </c>
      <c r="O100" s="342">
        <v>0</v>
      </c>
      <c r="P100" s="343">
        <v>0.12230721150625751</v>
      </c>
      <c r="Q100" s="343">
        <v>0.4836007038148788</v>
      </c>
      <c r="R100" s="343">
        <v>0.49429646776677999</v>
      </c>
      <c r="S100" s="343">
        <v>0.4866960195951277</v>
      </c>
      <c r="T100" s="343">
        <v>0.47665792659993222</v>
      </c>
      <c r="U100" s="343">
        <v>0.47073773256116797</v>
      </c>
      <c r="V100" s="343">
        <v>0.46352635688866994</v>
      </c>
      <c r="W100" s="343">
        <v>0.45775701391131823</v>
      </c>
      <c r="X100" s="343">
        <v>0.45491116547962351</v>
      </c>
      <c r="Y100" s="379">
        <v>0.4470577648968016</v>
      </c>
      <c r="Z100" s="282">
        <f t="shared" si="82"/>
        <v>0.36019512330096581</v>
      </c>
      <c r="AA100" s="284">
        <f t="shared" si="83"/>
        <v>0.34729865863875226</v>
      </c>
      <c r="AB100" s="948">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49">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6">
        <f t="shared" si="84"/>
        <v>0</v>
      </c>
      <c r="AE100" s="937">
        <f t="shared" si="90"/>
        <v>0.10902242564566619</v>
      </c>
      <c r="AF100" s="937">
        <f t="shared" si="91"/>
        <v>0.36019512330096581</v>
      </c>
      <c r="AG100" s="937">
        <f t="shared" si="92"/>
        <v>0.46921754894663203</v>
      </c>
      <c r="AH100" s="1172">
        <f t="shared" si="88"/>
        <v>0.23234942062677671</v>
      </c>
      <c r="AI100" s="937">
        <f t="shared" si="89"/>
        <v>0.76765057937322323</v>
      </c>
      <c r="AJ100" s="1169"/>
      <c r="AK100" s="1171"/>
      <c r="AL100" s="1171"/>
      <c r="AM100" s="1171"/>
      <c r="AN100" s="1169"/>
      <c r="AO100" s="1171"/>
      <c r="AP100" s="1169"/>
      <c r="AQ100" s="1169"/>
      <c r="AR100" s="1169"/>
      <c r="AS100" s="1169"/>
    </row>
    <row r="101" spans="1:45" x14ac:dyDescent="0.2">
      <c r="A101" s="330">
        <v>2032</v>
      </c>
      <c r="B101" s="344">
        <v>0</v>
      </c>
      <c r="C101" s="345">
        <v>0.13245271074620565</v>
      </c>
      <c r="D101" s="345">
        <v>0.52017570697509541</v>
      </c>
      <c r="E101" s="345">
        <v>0.53454058469316768</v>
      </c>
      <c r="F101" s="345">
        <v>0.52631905331031514</v>
      </c>
      <c r="G101" s="345">
        <v>0.51546248442821918</v>
      </c>
      <c r="H101" s="345">
        <v>0.50905979893240583</v>
      </c>
      <c r="I101" s="345">
        <v>0.50126072105343122</v>
      </c>
      <c r="J101" s="345">
        <v>0.49742538925877466</v>
      </c>
      <c r="K101" s="345">
        <v>0.49194381929549713</v>
      </c>
      <c r="L101" s="380">
        <v>0.480532011732341</v>
      </c>
      <c r="M101" s="296">
        <f t="shared" si="80"/>
        <v>0.11673441249601464</v>
      </c>
      <c r="N101" s="298">
        <f t="shared" si="81"/>
        <v>0.11617208919536161</v>
      </c>
      <c r="O101" s="344">
        <v>0</v>
      </c>
      <c r="P101" s="345">
        <v>0.16101062045419592</v>
      </c>
      <c r="Q101" s="345">
        <v>0.53235969045731391</v>
      </c>
      <c r="R101" s="345">
        <v>0.5456312862637327</v>
      </c>
      <c r="S101" s="345">
        <v>0.53217454901875039</v>
      </c>
      <c r="T101" s="345">
        <v>0.51795624159671683</v>
      </c>
      <c r="U101" s="345">
        <v>0.50986803798385505</v>
      </c>
      <c r="V101" s="345">
        <v>0.50126072105343122</v>
      </c>
      <c r="W101" s="345">
        <v>0.49194381929549713</v>
      </c>
      <c r="X101" s="345">
        <v>0.48727233252549812</v>
      </c>
      <c r="Y101" s="380">
        <v>0.48345081881734114</v>
      </c>
      <c r="Z101" s="296">
        <f t="shared" si="82"/>
        <v>0.3910838871166209</v>
      </c>
      <c r="AA101" s="298">
        <f t="shared" si="83"/>
        <v>0.37822049021181109</v>
      </c>
      <c r="AB101" s="948">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49">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6">
        <f t="shared" si="84"/>
        <v>0</v>
      </c>
      <c r="AE101" s="937">
        <f t="shared" si="90"/>
        <v>0.11673441249601464</v>
      </c>
      <c r="AF101" s="937">
        <f t="shared" si="91"/>
        <v>0.3910838871166209</v>
      </c>
      <c r="AG101" s="937">
        <f t="shared" si="92"/>
        <v>0.50781829961263558</v>
      </c>
      <c r="AH101" s="1172">
        <f t="shared" si="88"/>
        <v>0.22987437157160306</v>
      </c>
      <c r="AI101" s="937">
        <f t="shared" si="89"/>
        <v>0.77012562842839682</v>
      </c>
      <c r="AJ101" s="1169"/>
      <c r="AK101" s="1171"/>
      <c r="AL101" s="1171"/>
      <c r="AM101" s="1171"/>
      <c r="AN101" s="1169"/>
      <c r="AO101" s="1171"/>
      <c r="AP101" s="1169"/>
      <c r="AQ101" s="1169"/>
      <c r="AR101" s="1169"/>
      <c r="AS101" s="1169"/>
    </row>
    <row r="102" spans="1:45" x14ac:dyDescent="0.2">
      <c r="A102" s="330">
        <v>2033</v>
      </c>
      <c r="B102" s="344">
        <v>0</v>
      </c>
      <c r="C102" s="345">
        <v>0.16613499524760172</v>
      </c>
      <c r="D102" s="345">
        <v>0.54923677032464235</v>
      </c>
      <c r="E102" s="345">
        <v>0.56247433566260008</v>
      </c>
      <c r="F102" s="345">
        <v>0.54860116953043447</v>
      </c>
      <c r="G102" s="345">
        <v>0.53394342703404407</v>
      </c>
      <c r="H102" s="345">
        <v>0.52560533928908226</v>
      </c>
      <c r="I102" s="345">
        <v>0.51673215208659284</v>
      </c>
      <c r="J102" s="345">
        <v>0.50712751450736093</v>
      </c>
      <c r="K102" s="345">
        <v>0.50231177227341961</v>
      </c>
      <c r="L102" s="380">
        <v>0.49536331285738877</v>
      </c>
      <c r="M102" s="296">
        <f t="shared" si="80"/>
        <v>0.12089768842867267</v>
      </c>
      <c r="N102" s="298">
        <f t="shared" si="81"/>
        <v>0.12070702423048045</v>
      </c>
      <c r="O102" s="344">
        <v>0</v>
      </c>
      <c r="P102" s="345">
        <v>0.21918260849027613</v>
      </c>
      <c r="Q102" s="345">
        <v>0.56782480320590734</v>
      </c>
      <c r="R102" s="345">
        <v>0.54963923416300497</v>
      </c>
      <c r="S102" s="345">
        <v>0.53736982244475062</v>
      </c>
      <c r="T102" s="345">
        <v>0.5247722420872839</v>
      </c>
      <c r="U102" s="345">
        <v>0.51772319842509662</v>
      </c>
      <c r="V102" s="345">
        <v>0.51030025838154092</v>
      </c>
      <c r="W102" s="345">
        <v>0.50712751450736093</v>
      </c>
      <c r="X102" s="345">
        <v>0.50231177227341961</v>
      </c>
      <c r="Y102" s="380">
        <v>0.49536331285738877</v>
      </c>
      <c r="Z102" s="296">
        <f t="shared" si="82"/>
        <v>0.39798364163722472</v>
      </c>
      <c r="AA102" s="298">
        <f t="shared" si="83"/>
        <v>0.3858202523167934</v>
      </c>
      <c r="AB102" s="948">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49">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6">
        <f>AB102*AH102+AC102*AI102</f>
        <v>0</v>
      </c>
      <c r="AE102" s="937">
        <f t="shared" si="90"/>
        <v>0.12089768842867267</v>
      </c>
      <c r="AF102" s="937">
        <f t="shared" si="91"/>
        <v>0.39798364163722472</v>
      </c>
      <c r="AG102" s="937">
        <f t="shared" si="92"/>
        <v>0.51888133006589743</v>
      </c>
      <c r="AH102" s="1172">
        <f t="shared" si="88"/>
        <v>0.23299679796403308</v>
      </c>
      <c r="AI102" s="937">
        <f t="shared" si="89"/>
        <v>0.76700320203596684</v>
      </c>
      <c r="AJ102" s="1169"/>
      <c r="AK102" s="1171"/>
      <c r="AL102" s="1171"/>
      <c r="AM102" s="1171"/>
      <c r="AN102" s="1169"/>
      <c r="AO102" s="1171"/>
      <c r="AP102" s="1169"/>
      <c r="AQ102" s="1169"/>
      <c r="AR102" s="1169"/>
      <c r="AS102" s="1169"/>
    </row>
    <row r="103" spans="1:45" x14ac:dyDescent="0.2">
      <c r="A103" s="330">
        <v>2034</v>
      </c>
      <c r="B103" s="344">
        <v>0</v>
      </c>
      <c r="C103" s="345">
        <v>0.18477891550973297</v>
      </c>
      <c r="D103" s="345">
        <v>0.54531642804611002</v>
      </c>
      <c r="E103" s="345">
        <v>0.56893275229988438</v>
      </c>
      <c r="F103" s="345">
        <v>0.55489965571951705</v>
      </c>
      <c r="G103" s="345">
        <v>0.5400732836598775</v>
      </c>
      <c r="H103" s="345">
        <v>0.53163932740208197</v>
      </c>
      <c r="I103" s="345">
        <v>0.52266415119295817</v>
      </c>
      <c r="J103" s="345">
        <v>0.51294914973012606</v>
      </c>
      <c r="K103" s="345">
        <v>0.50807808056839032</v>
      </c>
      <c r="L103" s="380">
        <v>0.50104979342619826</v>
      </c>
      <c r="M103" s="296">
        <f t="shared" si="80"/>
        <v>0.12226335624432252</v>
      </c>
      <c r="N103" s="298">
        <f t="shared" si="81"/>
        <v>0.12208093274167731</v>
      </c>
      <c r="O103" s="344">
        <v>0</v>
      </c>
      <c r="P103" s="345">
        <v>0.22150582315368569</v>
      </c>
      <c r="Q103" s="345">
        <v>0.56244319339846416</v>
      </c>
      <c r="R103" s="345">
        <v>0.56566939344904754</v>
      </c>
      <c r="S103" s="345">
        <v>0.55887861738684863</v>
      </c>
      <c r="T103" s="345">
        <v>0.5307967206778077</v>
      </c>
      <c r="U103" s="345">
        <v>0.52366662390317664</v>
      </c>
      <c r="V103" s="345">
        <v>0.51615836052397301</v>
      </c>
      <c r="W103" s="345">
        <v>0.51294914973012606</v>
      </c>
      <c r="X103" s="345">
        <v>0.50807808056839032</v>
      </c>
      <c r="Y103" s="380">
        <v>0.50104979342619826</v>
      </c>
      <c r="Z103" s="296">
        <f t="shared" si="82"/>
        <v>0.40403813914907266</v>
      </c>
      <c r="AA103" s="298">
        <f t="shared" si="83"/>
        <v>0.39208357291492807</v>
      </c>
      <c r="AB103" s="948">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49">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6">
        <f t="shared" ref="AD103:AD119" si="93">AB103*AH103+AC103*AI103</f>
        <v>0</v>
      </c>
      <c r="AE103" s="937">
        <f t="shared" si="90"/>
        <v>0.12226335624432252</v>
      </c>
      <c r="AF103" s="937">
        <f t="shared" si="91"/>
        <v>0.40403813914907266</v>
      </c>
      <c r="AG103" s="937">
        <f t="shared" si="92"/>
        <v>0.52630149539339521</v>
      </c>
      <c r="AH103" s="1172">
        <f t="shared" si="88"/>
        <v>0.23230668602401403</v>
      </c>
      <c r="AI103" s="937">
        <f t="shared" si="89"/>
        <v>0.76769331397598595</v>
      </c>
      <c r="AJ103" s="1169"/>
      <c r="AK103" s="1171"/>
      <c r="AL103" s="1171"/>
      <c r="AM103" s="1171"/>
      <c r="AN103" s="1169"/>
      <c r="AO103" s="1171"/>
      <c r="AP103" s="1169"/>
      <c r="AQ103" s="1169"/>
      <c r="AR103" s="1169"/>
      <c r="AS103" s="1169"/>
    </row>
    <row r="104" spans="1:45" ht="13.5" thickBot="1" x14ac:dyDescent="0.25">
      <c r="A104" s="328">
        <v>2035</v>
      </c>
      <c r="B104" s="346">
        <v>0</v>
      </c>
      <c r="C104" s="347">
        <v>0.18546200768691234</v>
      </c>
      <c r="D104" s="347">
        <v>0.53699625145226815</v>
      </c>
      <c r="E104" s="347">
        <v>0.55830414199545164</v>
      </c>
      <c r="F104" s="347">
        <v>0.55724885610272357</v>
      </c>
      <c r="G104" s="347">
        <v>0.54235945925078888</v>
      </c>
      <c r="H104" s="347">
        <v>0.5338896937576143</v>
      </c>
      <c r="I104" s="347">
        <v>0.51834306175492328</v>
      </c>
      <c r="J104" s="347">
        <v>0.51512023426765086</v>
      </c>
      <c r="K104" s="347">
        <v>0.51022851525532109</v>
      </c>
      <c r="L104" s="381">
        <v>0.50317043430874486</v>
      </c>
      <c r="M104" s="310">
        <f t="shared" si="80"/>
        <v>0.12226924811090775</v>
      </c>
      <c r="N104" s="312">
        <f t="shared" si="81"/>
        <v>0.12193373619526672</v>
      </c>
      <c r="O104" s="346">
        <v>0</v>
      </c>
      <c r="P104" s="347">
        <v>0.24263145383645945</v>
      </c>
      <c r="Q104" s="347">
        <v>0.55266807360522752</v>
      </c>
      <c r="R104" s="347">
        <v>0.56806450186002311</v>
      </c>
      <c r="S104" s="347">
        <v>0.55020250600038345</v>
      </c>
      <c r="T104" s="347">
        <v>0.53304356099334282</v>
      </c>
      <c r="U104" s="347">
        <v>0.52588318679517854</v>
      </c>
      <c r="V104" s="347">
        <v>0.52086023063489817</v>
      </c>
      <c r="W104" s="347">
        <v>0.51512023426765086</v>
      </c>
      <c r="X104" s="347">
        <v>0.50622684250735372</v>
      </c>
      <c r="Y104" s="381">
        <v>0.50317043430874486</v>
      </c>
      <c r="Z104" s="310">
        <f t="shared" si="82"/>
        <v>0.40490140593620955</v>
      </c>
      <c r="AA104" s="312">
        <f t="shared" si="83"/>
        <v>0.39287210552449187</v>
      </c>
      <c r="AB104" s="948">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49">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6">
        <f t="shared" si="93"/>
        <v>0</v>
      </c>
      <c r="AE104" s="937">
        <f t="shared" si="90"/>
        <v>0.12226924811090775</v>
      </c>
      <c r="AF104" s="937">
        <f t="shared" si="91"/>
        <v>0.40490140593620955</v>
      </c>
      <c r="AG104" s="937">
        <f t="shared" si="92"/>
        <v>0.52717065404711727</v>
      </c>
      <c r="AH104" s="1172">
        <f t="shared" si="88"/>
        <v>0.23193485292142157</v>
      </c>
      <c r="AI104" s="937">
        <f t="shared" si="89"/>
        <v>0.76806514707857854</v>
      </c>
      <c r="AJ104" s="1169"/>
      <c r="AK104" s="1171"/>
      <c r="AL104" s="1171"/>
      <c r="AM104" s="1171"/>
      <c r="AN104" s="1169"/>
      <c r="AO104" s="1171"/>
      <c r="AP104" s="1169"/>
      <c r="AQ104" s="1169"/>
      <c r="AR104" s="1169"/>
      <c r="AS104" s="1169"/>
    </row>
    <row r="105" spans="1:45" x14ac:dyDescent="0.2">
      <c r="A105" s="329">
        <v>2036</v>
      </c>
      <c r="B105" s="342">
        <v>0</v>
      </c>
      <c r="C105" s="343">
        <v>0.2028163394563392</v>
      </c>
      <c r="D105" s="343">
        <v>0.54679029008078617</v>
      </c>
      <c r="E105" s="343">
        <v>0.56890665346741887</v>
      </c>
      <c r="F105" s="343">
        <v>0.53577608268150756</v>
      </c>
      <c r="G105" s="343">
        <v>0.53383794258177941</v>
      </c>
      <c r="H105" s="343">
        <v>0.52666754700447793</v>
      </c>
      <c r="I105" s="343">
        <v>0.51911672286222765</v>
      </c>
      <c r="J105" s="343">
        <v>0.51099051001043594</v>
      </c>
      <c r="K105" s="343">
        <v>0.50698304104957526</v>
      </c>
      <c r="L105" s="379">
        <v>0.50189188172679788</v>
      </c>
      <c r="M105" s="282">
        <f t="shared" si="80"/>
        <v>0.12094848564500252</v>
      </c>
      <c r="N105" s="284">
        <f t="shared" si="81"/>
        <v>0.12073584569156183</v>
      </c>
      <c r="O105" s="342">
        <v>0</v>
      </c>
      <c r="P105" s="343">
        <v>0.240802472487952</v>
      </c>
      <c r="Q105" s="343">
        <v>0.55792012946512815</v>
      </c>
      <c r="R105" s="343">
        <v>0.55617684212036544</v>
      </c>
      <c r="S105" s="343">
        <v>0.54055202808846581</v>
      </c>
      <c r="T105" s="343">
        <v>0.53468561149276628</v>
      </c>
      <c r="U105" s="343">
        <v>0.52565954097840373</v>
      </c>
      <c r="V105" s="343">
        <v>0.5158893105547262</v>
      </c>
      <c r="W105" s="343">
        <v>0.51099051001043594</v>
      </c>
      <c r="X105" s="343">
        <v>0.50698304104957526</v>
      </c>
      <c r="Y105" s="379">
        <v>0.50392220388699727</v>
      </c>
      <c r="Z105" s="282">
        <f t="shared" si="82"/>
        <v>0.4034309636177188</v>
      </c>
      <c r="AA105" s="284">
        <f t="shared" si="83"/>
        <v>0.39112534916853026</v>
      </c>
      <c r="AB105" s="948">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49">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6">
        <f t="shared" si="93"/>
        <v>0</v>
      </c>
      <c r="AE105" s="937">
        <f t="shared" si="90"/>
        <v>0.12094848564500252</v>
      </c>
      <c r="AF105" s="937">
        <f t="shared" si="91"/>
        <v>0.4034309636177188</v>
      </c>
      <c r="AG105" s="937">
        <f t="shared" si="92"/>
        <v>0.52437944926272129</v>
      </c>
      <c r="AH105" s="1172">
        <f t="shared" si="88"/>
        <v>0.2306506973434149</v>
      </c>
      <c r="AI105" s="937">
        <f t="shared" si="89"/>
        <v>0.76934930265658519</v>
      </c>
      <c r="AJ105" s="1169"/>
      <c r="AK105" s="1171"/>
      <c r="AL105" s="1171"/>
      <c r="AM105" s="1171"/>
      <c r="AN105" s="1169"/>
      <c r="AO105" s="1171"/>
      <c r="AP105" s="1169"/>
      <c r="AQ105" s="1169"/>
      <c r="AR105" s="1169"/>
      <c r="AS105" s="1169"/>
    </row>
    <row r="106" spans="1:45" x14ac:dyDescent="0.2">
      <c r="A106" s="330">
        <v>2037</v>
      </c>
      <c r="B106" s="344">
        <v>0</v>
      </c>
      <c r="C106" s="345">
        <v>0.20181052807154673</v>
      </c>
      <c r="D106" s="345">
        <v>0.53534999706503239</v>
      </c>
      <c r="E106" s="345">
        <v>0.55646707817598062</v>
      </c>
      <c r="F106" s="345">
        <v>0.53605709681639624</v>
      </c>
      <c r="G106" s="345">
        <v>0.5254721304837886</v>
      </c>
      <c r="H106" s="345">
        <v>0.51967186743259841</v>
      </c>
      <c r="I106" s="345">
        <v>0.51365719555454992</v>
      </c>
      <c r="J106" s="345">
        <v>0.51126004053232676</v>
      </c>
      <c r="K106" s="345">
        <v>0.50725056248844003</v>
      </c>
      <c r="L106" s="380">
        <v>0.50215684840350738</v>
      </c>
      <c r="M106" s="296">
        <f t="shared" si="80"/>
        <v>0.11973416536235554</v>
      </c>
      <c r="N106" s="298">
        <f t="shared" si="81"/>
        <v>0.11940418212325123</v>
      </c>
      <c r="O106" s="344">
        <v>0</v>
      </c>
      <c r="P106" s="345">
        <v>0.26061922868997167</v>
      </c>
      <c r="Q106" s="345">
        <v>0.54545470196397716</v>
      </c>
      <c r="R106" s="345">
        <v>0.54410727147269877</v>
      </c>
      <c r="S106" s="345">
        <v>0.54083571695442667</v>
      </c>
      <c r="T106" s="345">
        <v>0.52694475692443543</v>
      </c>
      <c r="U106" s="345">
        <v>0.52593636470759586</v>
      </c>
      <c r="V106" s="345">
        <v>0.51616129476622041</v>
      </c>
      <c r="W106" s="345">
        <v>0.51126004053232676</v>
      </c>
      <c r="X106" s="345">
        <v>0.50725056248844003</v>
      </c>
      <c r="Y106" s="380">
        <v>0.50215684840350738</v>
      </c>
      <c r="Z106" s="296">
        <f t="shared" si="82"/>
        <v>0.40159347831619341</v>
      </c>
      <c r="AA106" s="298">
        <f t="shared" si="83"/>
        <v>0.38921446460165199</v>
      </c>
      <c r="AB106" s="948">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49">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6">
        <f t="shared" si="93"/>
        <v>0</v>
      </c>
      <c r="AE106" s="937">
        <f t="shared" si="90"/>
        <v>0.11973416536235554</v>
      </c>
      <c r="AF106" s="937">
        <f t="shared" si="91"/>
        <v>0.40159347831619341</v>
      </c>
      <c r="AG106" s="937">
        <f t="shared" si="92"/>
        <v>0.521327643678549</v>
      </c>
      <c r="AH106" s="1172">
        <f t="shared" si="88"/>
        <v>0.22967162170319078</v>
      </c>
      <c r="AI106" s="937">
        <f t="shared" si="89"/>
        <v>0.77032837829680911</v>
      </c>
      <c r="AJ106" s="1169"/>
      <c r="AK106" s="1171"/>
      <c r="AL106" s="1171"/>
      <c r="AM106" s="1171"/>
      <c r="AN106" s="1169"/>
      <c r="AO106" s="1171"/>
      <c r="AP106" s="1169"/>
      <c r="AQ106" s="1169"/>
      <c r="AR106" s="1169"/>
      <c r="AS106" s="1169"/>
    </row>
    <row r="107" spans="1:45" x14ac:dyDescent="0.2">
      <c r="A107" s="330">
        <v>2038</v>
      </c>
      <c r="B107" s="344">
        <v>0</v>
      </c>
      <c r="C107" s="345">
        <v>0.21880580861263735</v>
      </c>
      <c r="D107" s="345">
        <v>0.51147294590834647</v>
      </c>
      <c r="E107" s="345">
        <v>0.53223583196016322</v>
      </c>
      <c r="F107" s="345">
        <v>0.52582571684959845</v>
      </c>
      <c r="G107" s="345">
        <v>0.51760694384856232</v>
      </c>
      <c r="H107" s="345">
        <v>0.51973842182792018</v>
      </c>
      <c r="I107" s="345">
        <v>0.51372338148924113</v>
      </c>
      <c r="J107" s="345">
        <v>0.50731623489809718</v>
      </c>
      <c r="K107" s="345">
        <v>0.50425358297792866</v>
      </c>
      <c r="L107" s="380">
        <v>0.5022220557290471</v>
      </c>
      <c r="M107" s="296">
        <f t="shared" si="80"/>
        <v>0.11855693092566524</v>
      </c>
      <c r="N107" s="298">
        <f t="shared" si="81"/>
        <v>0.11782049879703493</v>
      </c>
      <c r="O107" s="344">
        <v>0</v>
      </c>
      <c r="P107" s="345">
        <v>0.25575717063772158</v>
      </c>
      <c r="Q107" s="345">
        <v>0.52011728086153197</v>
      </c>
      <c r="R107" s="345">
        <v>0.52076368920357907</v>
      </c>
      <c r="S107" s="345">
        <v>0.53105034454416966</v>
      </c>
      <c r="T107" s="345">
        <v>0.52701194816868302</v>
      </c>
      <c r="U107" s="345">
        <v>0.51945697426515169</v>
      </c>
      <c r="V107" s="345">
        <v>0.51132607625571325</v>
      </c>
      <c r="W107" s="345">
        <v>0.50731623489809718</v>
      </c>
      <c r="X107" s="345">
        <v>0.50425358297792866</v>
      </c>
      <c r="Y107" s="380">
        <v>0.5022220557290471</v>
      </c>
      <c r="Z107" s="296">
        <f t="shared" si="82"/>
        <v>0.39737968467595741</v>
      </c>
      <c r="AA107" s="298">
        <f t="shared" si="83"/>
        <v>0.38421999002360119</v>
      </c>
      <c r="AB107" s="948">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49">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6">
        <f t="shared" si="93"/>
        <v>0</v>
      </c>
      <c r="AE107" s="937">
        <f t="shared" si="90"/>
        <v>0.11855693092566524</v>
      </c>
      <c r="AF107" s="937">
        <f t="shared" si="91"/>
        <v>0.39737968467595741</v>
      </c>
      <c r="AG107" s="937">
        <f t="shared" si="92"/>
        <v>0.51593661560162263</v>
      </c>
      <c r="AH107" s="1172">
        <f t="shared" si="88"/>
        <v>0.2297897209474434</v>
      </c>
      <c r="AI107" s="937">
        <f t="shared" si="89"/>
        <v>0.77021027905255668</v>
      </c>
      <c r="AJ107" s="1169"/>
      <c r="AK107" s="1171"/>
      <c r="AL107" s="1171"/>
      <c r="AM107" s="1171"/>
      <c r="AN107" s="1169"/>
      <c r="AO107" s="1171"/>
      <c r="AP107" s="1169"/>
      <c r="AQ107" s="1169"/>
      <c r="AR107" s="1169"/>
      <c r="AS107" s="1169"/>
    </row>
    <row r="108" spans="1:45" x14ac:dyDescent="0.2">
      <c r="A108" s="330">
        <v>2039</v>
      </c>
      <c r="B108" s="344">
        <v>0</v>
      </c>
      <c r="C108" s="345">
        <v>0.23213967476797079</v>
      </c>
      <c r="D108" s="345">
        <v>0.50419545765653717</v>
      </c>
      <c r="E108" s="345">
        <v>0.52072740099166659</v>
      </c>
      <c r="F108" s="345">
        <v>0.52181516213085377</v>
      </c>
      <c r="G108" s="345">
        <v>0.51970520266508347</v>
      </c>
      <c r="H108" s="345">
        <v>0.51942402081373673</v>
      </c>
      <c r="I108" s="345">
        <v>0.51129416663502747</v>
      </c>
      <c r="J108" s="345">
        <v>0.50728478907325414</v>
      </c>
      <c r="K108" s="345">
        <v>0.50422248911900458</v>
      </c>
      <c r="L108" s="380">
        <v>0.50137281972918157</v>
      </c>
      <c r="M108" s="296">
        <f t="shared" si="80"/>
        <v>0.11811929977044403</v>
      </c>
      <c r="N108" s="298">
        <f t="shared" si="81"/>
        <v>0.11726079950353958</v>
      </c>
      <c r="O108" s="344">
        <v>0</v>
      </c>
      <c r="P108" s="345">
        <v>0.26849159987232868</v>
      </c>
      <c r="Q108" s="345">
        <v>0.49521890771777316</v>
      </c>
      <c r="R108" s="345">
        <v>0.52931936231810128</v>
      </c>
      <c r="S108" s="345">
        <v>0.51329557610795551</v>
      </c>
      <c r="T108" s="345">
        <v>0.51970520266508347</v>
      </c>
      <c r="U108" s="345">
        <v>0.51369110200243517</v>
      </c>
      <c r="V108" s="345">
        <v>0.51129416663502747</v>
      </c>
      <c r="W108" s="345">
        <v>0.50728478907325414</v>
      </c>
      <c r="X108" s="345">
        <v>0.50422248911900458</v>
      </c>
      <c r="Y108" s="380">
        <v>0.50137281972918157</v>
      </c>
      <c r="Z108" s="296">
        <f t="shared" si="82"/>
        <v>0.39324097871209679</v>
      </c>
      <c r="AA108" s="298">
        <f t="shared" si="83"/>
        <v>0.37993709215017657</v>
      </c>
      <c r="AB108" s="948">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49">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6">
        <f t="shared" si="93"/>
        <v>0</v>
      </c>
      <c r="AE108" s="937">
        <f t="shared" si="90"/>
        <v>0.11811929977044403</v>
      </c>
      <c r="AF108" s="937">
        <f t="shared" si="91"/>
        <v>0.39324097871209679</v>
      </c>
      <c r="AG108" s="937">
        <f t="shared" si="92"/>
        <v>0.51136027848254084</v>
      </c>
      <c r="AH108" s="1172">
        <f t="shared" si="88"/>
        <v>0.23099036968800643</v>
      </c>
      <c r="AI108" s="937">
        <f t="shared" si="89"/>
        <v>0.76900963031199354</v>
      </c>
      <c r="AJ108" s="1169"/>
      <c r="AK108" s="1171"/>
      <c r="AL108" s="1171"/>
      <c r="AM108" s="1171"/>
      <c r="AN108" s="1169"/>
      <c r="AO108" s="1171"/>
      <c r="AP108" s="1169"/>
      <c r="AQ108" s="1169"/>
      <c r="AR108" s="1169"/>
      <c r="AS108" s="1169"/>
    </row>
    <row r="109" spans="1:45" ht="13.5" thickBot="1" x14ac:dyDescent="0.25">
      <c r="A109" s="328">
        <v>2040</v>
      </c>
      <c r="B109" s="346">
        <v>1.9558940922001134E-4</v>
      </c>
      <c r="C109" s="347">
        <v>0.24250036039713543</v>
      </c>
      <c r="D109" s="347">
        <v>0.47960562276049407</v>
      </c>
      <c r="E109" s="347">
        <v>0.49922875151827262</v>
      </c>
      <c r="F109" s="347">
        <v>0.51318918067369479</v>
      </c>
      <c r="G109" s="347">
        <v>0.51310444467396388</v>
      </c>
      <c r="H109" s="347">
        <v>0.51358588642375658</v>
      </c>
      <c r="I109" s="347">
        <v>0.50718142402900013</v>
      </c>
      <c r="J109" s="347">
        <v>0.50411995053933711</v>
      </c>
      <c r="K109" s="347">
        <v>0.50208920252760147</v>
      </c>
      <c r="L109" s="381">
        <v>0.50127104801945399</v>
      </c>
      <c r="M109" s="310">
        <f t="shared" si="80"/>
        <v>0.1164991459466862</v>
      </c>
      <c r="N109" s="312">
        <f t="shared" si="81"/>
        <v>0.11532491652834195</v>
      </c>
      <c r="O109" s="346">
        <v>0</v>
      </c>
      <c r="P109" s="347">
        <v>0.27549744611969557</v>
      </c>
      <c r="Q109" s="347">
        <v>0.49732280195227108</v>
      </c>
      <c r="R109" s="347">
        <v>0.50845370348635599</v>
      </c>
      <c r="S109" s="347">
        <v>0.50537848914948236</v>
      </c>
      <c r="T109" s="347">
        <v>0.51310444467396388</v>
      </c>
      <c r="U109" s="347">
        <v>0.50870168087141698</v>
      </c>
      <c r="V109" s="347">
        <v>0.50718142402900013</v>
      </c>
      <c r="W109" s="347">
        <v>0.50411995053933711</v>
      </c>
      <c r="X109" s="347">
        <v>0.50208920252760147</v>
      </c>
      <c r="Y109" s="381">
        <v>0.50127104801945399</v>
      </c>
      <c r="Z109" s="310">
        <f t="shared" si="82"/>
        <v>0.3889333763973194</v>
      </c>
      <c r="AA109" s="312">
        <f t="shared" si="83"/>
        <v>0.37543203174333883</v>
      </c>
      <c r="AB109" s="948">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49">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6">
        <f t="shared" si="93"/>
        <v>0</v>
      </c>
      <c r="AE109" s="937">
        <f t="shared" si="90"/>
        <v>0.1164991459466862</v>
      </c>
      <c r="AF109" s="937">
        <f t="shared" si="91"/>
        <v>0.3889333763973194</v>
      </c>
      <c r="AG109" s="937">
        <f t="shared" si="92"/>
        <v>0.5054325223440056</v>
      </c>
      <c r="AH109" s="1172">
        <f t="shared" si="88"/>
        <v>0.23049396466694913</v>
      </c>
      <c r="AI109" s="937">
        <f t="shared" si="89"/>
        <v>0.76950603533305084</v>
      </c>
      <c r="AJ109" s="1169"/>
      <c r="AK109" s="1171"/>
      <c r="AL109" s="1171"/>
      <c r="AM109" s="1171"/>
      <c r="AN109" s="1169"/>
      <c r="AO109" s="1171"/>
      <c r="AP109" s="1169"/>
      <c r="AQ109" s="1169"/>
      <c r="AR109" s="1169"/>
      <c r="AS109" s="1169"/>
    </row>
    <row r="110" spans="1:45" x14ac:dyDescent="0.2">
      <c r="A110" s="329">
        <v>2041</v>
      </c>
      <c r="B110" s="342">
        <v>3.4734023286199528E-4</v>
      </c>
      <c r="C110" s="343">
        <v>0.24236587899631587</v>
      </c>
      <c r="D110" s="343">
        <v>0.44436008543999883</v>
      </c>
      <c r="E110" s="343">
        <v>0.49879355130900965</v>
      </c>
      <c r="F110" s="343">
        <v>0.50519734468205346</v>
      </c>
      <c r="G110" s="343">
        <v>0.5072369025985628</v>
      </c>
      <c r="H110" s="343">
        <v>0.50852045778722155</v>
      </c>
      <c r="I110" s="343">
        <v>0.50700097085993701</v>
      </c>
      <c r="J110" s="343">
        <v>0.50191092191257169</v>
      </c>
      <c r="K110" s="343">
        <v>0.50191092191257169</v>
      </c>
      <c r="L110" s="379">
        <v>0.50109311578099092</v>
      </c>
      <c r="M110" s="282">
        <f t="shared" si="80"/>
        <v>0.11548499671223078</v>
      </c>
      <c r="N110" s="284">
        <f t="shared" si="81"/>
        <v>0.1141005879494431</v>
      </c>
      <c r="O110" s="342">
        <v>1.9550626472229711E-4</v>
      </c>
      <c r="P110" s="343">
        <v>0.27502527497705576</v>
      </c>
      <c r="Q110" s="343">
        <v>0.47390849997505791</v>
      </c>
      <c r="R110" s="343">
        <v>0.49879355130900965</v>
      </c>
      <c r="S110" s="343">
        <v>0.51009693326509487</v>
      </c>
      <c r="T110" s="343">
        <v>0.5072369025985628</v>
      </c>
      <c r="U110" s="343">
        <v>0.50452674102192163</v>
      </c>
      <c r="V110" s="343">
        <v>0.50394080439970323</v>
      </c>
      <c r="W110" s="343">
        <v>0.50191092191257169</v>
      </c>
      <c r="X110" s="343">
        <v>0.50109311578099092</v>
      </c>
      <c r="Y110" s="379">
        <v>0.50109311578099092</v>
      </c>
      <c r="Z110" s="282">
        <f t="shared" si="82"/>
        <v>0.38620828096069615</v>
      </c>
      <c r="AA110" s="284">
        <f t="shared" si="83"/>
        <v>0.37246102476169718</v>
      </c>
      <c r="AB110" s="948">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49">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6">
        <f t="shared" si="93"/>
        <v>0</v>
      </c>
      <c r="AE110" s="937">
        <f t="shared" si="90"/>
        <v>0.11548499671223078</v>
      </c>
      <c r="AF110" s="937">
        <f t="shared" si="91"/>
        <v>0.38620828096069615</v>
      </c>
      <c r="AG110" s="937">
        <f t="shared" si="92"/>
        <v>0.50169327767292693</v>
      </c>
      <c r="AH110" s="1172">
        <f t="shared" si="88"/>
        <v>0.23019044075675232</v>
      </c>
      <c r="AI110" s="937">
        <f t="shared" si="89"/>
        <v>0.76980955924324768</v>
      </c>
      <c r="AJ110" s="1169"/>
      <c r="AK110" s="1171"/>
      <c r="AL110" s="1171"/>
      <c r="AM110" s="1171"/>
      <c r="AN110" s="1169"/>
      <c r="AO110" s="1171"/>
      <c r="AP110" s="1169"/>
      <c r="AQ110" s="1169"/>
      <c r="AR110" s="1169"/>
      <c r="AS110" s="1169"/>
    </row>
    <row r="111" spans="1:45" x14ac:dyDescent="0.2">
      <c r="A111" s="330">
        <v>2042</v>
      </c>
      <c r="B111" s="344">
        <v>5.0418600339258374E-4</v>
      </c>
      <c r="C111" s="345">
        <v>0.21513960184452083</v>
      </c>
      <c r="D111" s="345">
        <v>0.44831138533189174</v>
      </c>
      <c r="E111" s="345">
        <v>0.48969437641910829</v>
      </c>
      <c r="F111" s="345">
        <v>0.49786087498495368</v>
      </c>
      <c r="G111" s="345">
        <v>0.50213039589576236</v>
      </c>
      <c r="H111" s="345">
        <v>0.50426278549729164</v>
      </c>
      <c r="I111" s="345">
        <v>0.50367729309205767</v>
      </c>
      <c r="J111" s="345">
        <v>0.50164859614660495</v>
      </c>
      <c r="K111" s="345">
        <v>0.50083126736650196</v>
      </c>
      <c r="L111" s="380">
        <v>0.50083126736650196</v>
      </c>
      <c r="M111" s="296">
        <f t="shared" si="80"/>
        <v>0.11445051529655374</v>
      </c>
      <c r="N111" s="298">
        <f t="shared" si="81"/>
        <v>0.11287718499823209</v>
      </c>
      <c r="O111" s="344">
        <v>2.8718573068815519E-4</v>
      </c>
      <c r="P111" s="345">
        <v>0.24201961503853836</v>
      </c>
      <c r="Q111" s="345">
        <v>0.45211659348235056</v>
      </c>
      <c r="R111" s="345">
        <v>0.48151798539224439</v>
      </c>
      <c r="S111" s="345">
        <v>0.50341776421755913</v>
      </c>
      <c r="T111" s="345">
        <v>0.50213039589576236</v>
      </c>
      <c r="U111" s="345">
        <v>0.50426278549729164</v>
      </c>
      <c r="V111" s="345">
        <v>0.50164859614660495</v>
      </c>
      <c r="W111" s="345">
        <v>0.50164859614660495</v>
      </c>
      <c r="X111" s="345">
        <v>0.50078218960366483</v>
      </c>
      <c r="Y111" s="380">
        <v>0.50003172804157248</v>
      </c>
      <c r="Z111" s="296">
        <f t="shared" si="82"/>
        <v>0.38328273136267027</v>
      </c>
      <c r="AA111" s="298">
        <f t="shared" si="83"/>
        <v>0.36821272531918259</v>
      </c>
      <c r="AB111" s="948">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49">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6">
        <f t="shared" si="93"/>
        <v>0</v>
      </c>
      <c r="AE111" s="937">
        <f t="shared" si="90"/>
        <v>0.11445051529655374</v>
      </c>
      <c r="AF111" s="937">
        <f t="shared" si="91"/>
        <v>0.38328273136267027</v>
      </c>
      <c r="AG111" s="937">
        <f t="shared" si="92"/>
        <v>0.49773324665922403</v>
      </c>
      <c r="AH111" s="1172">
        <f t="shared" si="88"/>
        <v>0.22994348090014763</v>
      </c>
      <c r="AI111" s="937">
        <f t="shared" si="89"/>
        <v>0.7700565190998524</v>
      </c>
      <c r="AJ111" s="1169"/>
      <c r="AK111" s="1171"/>
      <c r="AL111" s="1171"/>
      <c r="AM111" s="1171"/>
      <c r="AN111" s="1169"/>
      <c r="AO111" s="1171"/>
      <c r="AP111" s="1169"/>
      <c r="AQ111" s="1169"/>
      <c r="AR111" s="1169"/>
      <c r="AS111" s="1169"/>
    </row>
    <row r="112" spans="1:45" x14ac:dyDescent="0.2">
      <c r="A112" s="330">
        <v>2043</v>
      </c>
      <c r="B112" s="344">
        <v>6.053839055807685E-4</v>
      </c>
      <c r="C112" s="345">
        <v>0.21839099479632287</v>
      </c>
      <c r="D112" s="345">
        <v>0.42719732153469259</v>
      </c>
      <c r="E112" s="345">
        <v>0.4811964481132574</v>
      </c>
      <c r="F112" s="345">
        <v>0.49122026299415933</v>
      </c>
      <c r="G112" s="345">
        <v>0.50179565277834248</v>
      </c>
      <c r="H112" s="345">
        <v>0.50088034916508684</v>
      </c>
      <c r="I112" s="345">
        <v>0.50121949791367471</v>
      </c>
      <c r="J112" s="345">
        <v>0.49961987109978978</v>
      </c>
      <c r="K112" s="345">
        <v>0.49759955526736799</v>
      </c>
      <c r="L112" s="380">
        <v>0.48217935183898347</v>
      </c>
      <c r="M112" s="296">
        <f t="shared" si="80"/>
        <v>0.11328270589143868</v>
      </c>
      <c r="N112" s="298">
        <f t="shared" si="81"/>
        <v>0.11167690697293393</v>
      </c>
      <c r="O112" s="344">
        <v>3.4689371027320562E-4</v>
      </c>
      <c r="P112" s="345">
        <v>0.24393807380159988</v>
      </c>
      <c r="Q112" s="345">
        <v>0.45541990373945196</v>
      </c>
      <c r="R112" s="345">
        <v>0.49017479850882234</v>
      </c>
      <c r="S112" s="345">
        <v>0.49747218115621378</v>
      </c>
      <c r="T112" s="345">
        <v>0.50386022827724053</v>
      </c>
      <c r="U112" s="345">
        <v>0.50033452492595776</v>
      </c>
      <c r="V112" s="345">
        <v>0.49797190210109243</v>
      </c>
      <c r="W112" s="345">
        <v>0.49114415072927614</v>
      </c>
      <c r="X112" s="345">
        <v>0.48217935183898347</v>
      </c>
      <c r="Y112" s="380">
        <v>0.4617482865199129</v>
      </c>
      <c r="Z112" s="296">
        <f t="shared" si="82"/>
        <v>0.3792785409485957</v>
      </c>
      <c r="AA112" s="298">
        <f t="shared" si="83"/>
        <v>0.36585216413157062</v>
      </c>
      <c r="AB112" s="948">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49">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6">
        <f t="shared" si="93"/>
        <v>0</v>
      </c>
      <c r="AE112" s="937">
        <f t="shared" si="90"/>
        <v>0.11328270589143868</v>
      </c>
      <c r="AF112" s="937">
        <f t="shared" si="91"/>
        <v>0.3792785409485957</v>
      </c>
      <c r="AG112" s="937">
        <f t="shared" si="92"/>
        <v>0.49256124684003438</v>
      </c>
      <c r="AH112" s="1172">
        <f t="shared" si="88"/>
        <v>0.22998704550589361</v>
      </c>
      <c r="AI112" s="937">
        <f t="shared" si="89"/>
        <v>0.77001295449410634</v>
      </c>
      <c r="AJ112" s="1169"/>
      <c r="AK112" s="1171"/>
      <c r="AL112" s="1171"/>
      <c r="AM112" s="1171"/>
      <c r="AN112" s="1169"/>
      <c r="AO112" s="1171"/>
      <c r="AP112" s="1169"/>
      <c r="AQ112" s="1169"/>
      <c r="AR112" s="1169"/>
      <c r="AS112" s="1169"/>
    </row>
    <row r="113" spans="1:45" x14ac:dyDescent="0.2">
      <c r="A113" s="330">
        <v>2044</v>
      </c>
      <c r="B113" s="344">
        <v>6.0493720713734433E-4</v>
      </c>
      <c r="C113" s="345">
        <v>0.19767532012487812</v>
      </c>
      <c r="D113" s="345">
        <v>0.41719283864864842</v>
      </c>
      <c r="E113" s="345">
        <v>0.47336347613456353</v>
      </c>
      <c r="F113" s="345">
        <v>0.48525715965906357</v>
      </c>
      <c r="G113" s="345">
        <v>0.49595080355090426</v>
      </c>
      <c r="H113" s="345">
        <v>0.49433225597484504</v>
      </c>
      <c r="I113" s="345">
        <v>0.48314994165971287</v>
      </c>
      <c r="J113" s="345">
        <v>0.46805765441015462</v>
      </c>
      <c r="K113" s="345">
        <v>0.45141466961759258</v>
      </c>
      <c r="L113" s="380">
        <v>0.41797515671099278</v>
      </c>
      <c r="M113" s="296">
        <f t="shared" si="80"/>
        <v>0.10993523255040862</v>
      </c>
      <c r="N113" s="298">
        <f t="shared" si="81"/>
        <v>0.10901701666674739</v>
      </c>
      <c r="O113" s="344">
        <v>3.4663774562171065E-4</v>
      </c>
      <c r="P113" s="345">
        <v>0.22831602828105016</v>
      </c>
      <c r="Q113" s="345">
        <v>0.44580014115585437</v>
      </c>
      <c r="R113" s="345">
        <v>0.4828881922157679</v>
      </c>
      <c r="S113" s="345">
        <v>0.49055429603132833</v>
      </c>
      <c r="T113" s="345">
        <v>0.49327588778438003</v>
      </c>
      <c r="U113" s="345">
        <v>0.47849855110008721</v>
      </c>
      <c r="V113" s="345">
        <v>0.45925374969898364</v>
      </c>
      <c r="W113" s="345">
        <v>0.44367105913562793</v>
      </c>
      <c r="X113" s="345">
        <v>0.42681681318163955</v>
      </c>
      <c r="Y113" s="380">
        <v>0.40465253318542893</v>
      </c>
      <c r="Z113" s="296">
        <f t="shared" si="82"/>
        <v>0.36117008664548422</v>
      </c>
      <c r="AA113" s="298">
        <f t="shared" si="83"/>
        <v>0.35104136316560736</v>
      </c>
      <c r="AB113" s="948">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49">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6">
        <f t="shared" si="93"/>
        <v>0</v>
      </c>
      <c r="AE113" s="937">
        <f t="shared" si="90"/>
        <v>0.10993523255040862</v>
      </c>
      <c r="AF113" s="937">
        <f t="shared" si="91"/>
        <v>0.36117008664548422</v>
      </c>
      <c r="AG113" s="937">
        <f t="shared" si="92"/>
        <v>0.47110531919589282</v>
      </c>
      <c r="AH113" s="1172">
        <f t="shared" si="88"/>
        <v>0.23335595687616478</v>
      </c>
      <c r="AI113" s="937">
        <f t="shared" si="89"/>
        <v>0.76664404312383527</v>
      </c>
      <c r="AJ113" s="1169"/>
      <c r="AK113" s="1171"/>
      <c r="AL113" s="1171"/>
      <c r="AM113" s="1171"/>
      <c r="AN113" s="1169"/>
      <c r="AO113" s="1171"/>
      <c r="AP113" s="1169"/>
      <c r="AQ113" s="1169"/>
      <c r="AR113" s="1169"/>
      <c r="AS113" s="1169"/>
    </row>
    <row r="114" spans="1:45" ht="13.5" thickBot="1" x14ac:dyDescent="0.25">
      <c r="A114" s="328">
        <v>2045</v>
      </c>
      <c r="B114" s="346">
        <v>7.2492492682524302E-4</v>
      </c>
      <c r="C114" s="347">
        <v>0.18379489668633953</v>
      </c>
      <c r="D114" s="347">
        <v>0.40772649551293438</v>
      </c>
      <c r="E114" s="347">
        <v>0.46523962215197567</v>
      </c>
      <c r="F114" s="347">
        <v>0.48697690611448802</v>
      </c>
      <c r="G114" s="347">
        <v>0.46822179601257058</v>
      </c>
      <c r="H114" s="347">
        <v>0.45027050589840389</v>
      </c>
      <c r="I114" s="347">
        <v>0.43252345435882178</v>
      </c>
      <c r="J114" s="347">
        <v>0.41377426210494295</v>
      </c>
      <c r="K114" s="347">
        <v>0.39997784695481858</v>
      </c>
      <c r="L114" s="381">
        <v>0.37847274455376856</v>
      </c>
      <c r="M114" s="310">
        <f t="shared" si="80"/>
        <v>0.10242859440876383</v>
      </c>
      <c r="N114" s="312">
        <f t="shared" si="81"/>
        <v>0.10269241146690752</v>
      </c>
      <c r="O114" s="346">
        <v>4.1788717559873827E-4</v>
      </c>
      <c r="P114" s="347">
        <v>0.21286545321056494</v>
      </c>
      <c r="Q114" s="347">
        <v>0.43667217506571088</v>
      </c>
      <c r="R114" s="347">
        <v>0.47733027398051558</v>
      </c>
      <c r="S114" s="347">
        <v>0.46596871850997412</v>
      </c>
      <c r="T114" s="347">
        <v>0.44673039656524932</v>
      </c>
      <c r="U114" s="347">
        <v>0.42121219133776455</v>
      </c>
      <c r="V114" s="347">
        <v>0.40915627413482752</v>
      </c>
      <c r="W114" s="347">
        <v>0.39546457707857829</v>
      </c>
      <c r="X114" s="347">
        <v>0.38251434010939112</v>
      </c>
      <c r="Y114" s="381">
        <v>0.37094024994940017</v>
      </c>
      <c r="Z114" s="310">
        <f t="shared" si="82"/>
        <v>0.32715266241980911</v>
      </c>
      <c r="AA114" s="312">
        <f t="shared" si="83"/>
        <v>0.32029158483127829</v>
      </c>
      <c r="AB114" s="948">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49">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6">
        <f t="shared" si="93"/>
        <v>0</v>
      </c>
      <c r="AE114" s="937">
        <f t="shared" si="90"/>
        <v>0.10242859440876383</v>
      </c>
      <c r="AF114" s="937">
        <f t="shared" si="91"/>
        <v>0.32715266241980911</v>
      </c>
      <c r="AG114" s="937">
        <f t="shared" si="92"/>
        <v>0.42958125682857295</v>
      </c>
      <c r="AH114" s="1172">
        <f t="shared" si="88"/>
        <v>0.23843822974250151</v>
      </c>
      <c r="AI114" s="937">
        <f t="shared" si="89"/>
        <v>0.76156177025749849</v>
      </c>
      <c r="AJ114" s="1169"/>
      <c r="AK114" s="1171"/>
      <c r="AL114" s="1171"/>
      <c r="AM114" s="1171"/>
      <c r="AN114" s="1169"/>
      <c r="AO114" s="1171"/>
      <c r="AP114" s="1169"/>
      <c r="AQ114" s="1169"/>
      <c r="AR114" s="1169"/>
      <c r="AS114" s="1169"/>
    </row>
    <row r="115" spans="1:45" x14ac:dyDescent="0.2">
      <c r="A115" s="329">
        <v>2046</v>
      </c>
      <c r="B115" s="342">
        <v>7.2452709883647252E-4</v>
      </c>
      <c r="C115" s="343">
        <v>0.17691857378130879</v>
      </c>
      <c r="D115" s="343">
        <v>0.40724391765236195</v>
      </c>
      <c r="E115" s="343">
        <v>0.45445879237234682</v>
      </c>
      <c r="F115" s="343">
        <v>0.449698405928106</v>
      </c>
      <c r="G115" s="343">
        <v>0.41980162853405778</v>
      </c>
      <c r="H115" s="343">
        <v>0.39751704012367139</v>
      </c>
      <c r="I115" s="343">
        <v>0.39673811739541315</v>
      </c>
      <c r="J115" s="343">
        <v>0.38319304141850768</v>
      </c>
      <c r="K115" s="343">
        <v>0.37086274816675002</v>
      </c>
      <c r="L115" s="379">
        <v>0.36036827917868702</v>
      </c>
      <c r="M115" s="282">
        <f t="shared" si="80"/>
        <v>9.357648364232718E-2</v>
      </c>
      <c r="N115" s="284">
        <f t="shared" si="81"/>
        <v>9.4331851241582249E-2</v>
      </c>
      <c r="O115" s="342">
        <v>4.1765784534887439E-4</v>
      </c>
      <c r="P115" s="343">
        <v>0.2052504011510197</v>
      </c>
      <c r="Q115" s="343">
        <v>0.43334595407591187</v>
      </c>
      <c r="R115" s="343">
        <v>0.45094092913218237</v>
      </c>
      <c r="S115" s="343">
        <v>0.42343733362616287</v>
      </c>
      <c r="T115" s="343">
        <v>0.3946991952004022</v>
      </c>
      <c r="U115" s="343">
        <v>0.37239350573313479</v>
      </c>
      <c r="V115" s="343">
        <v>0.38319304141850768</v>
      </c>
      <c r="W115" s="343">
        <v>0.37086274816675002</v>
      </c>
      <c r="X115" s="343">
        <v>0.36362561500280594</v>
      </c>
      <c r="Y115" s="379">
        <v>0.35738043807916325</v>
      </c>
      <c r="Z115" s="282">
        <f t="shared" si="82"/>
        <v>0.29693367183898439</v>
      </c>
      <c r="AA115" s="284">
        <f t="shared" si="83"/>
        <v>0.29090702416615927</v>
      </c>
      <c r="AB115" s="948">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49">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6">
        <f t="shared" si="93"/>
        <v>0</v>
      </c>
      <c r="AE115" s="937">
        <f t="shared" si="90"/>
        <v>9.357648364232718E-2</v>
      </c>
      <c r="AF115" s="937">
        <f t="shared" si="91"/>
        <v>0.29693367183898439</v>
      </c>
      <c r="AG115" s="937">
        <f t="shared" si="92"/>
        <v>0.39051015548131157</v>
      </c>
      <c r="AH115" s="1172">
        <f t="shared" si="88"/>
        <v>0.2396262487130259</v>
      </c>
      <c r="AI115" s="937">
        <f t="shared" si="89"/>
        <v>0.76037375128697415</v>
      </c>
      <c r="AJ115" s="1169"/>
      <c r="AK115" s="1171"/>
      <c r="AL115" s="1171"/>
      <c r="AM115" s="1171"/>
      <c r="AN115" s="1169"/>
      <c r="AO115" s="1171"/>
      <c r="AP115" s="1169"/>
      <c r="AQ115" s="1169"/>
      <c r="AR115" s="1169"/>
      <c r="AS115" s="1169"/>
    </row>
    <row r="116" spans="1:45" x14ac:dyDescent="0.2">
      <c r="A116" s="330">
        <v>2047</v>
      </c>
      <c r="B116" s="344">
        <v>7.2423333902298115E-4</v>
      </c>
      <c r="C116" s="345">
        <v>0.17684359014709417</v>
      </c>
      <c r="D116" s="345">
        <v>0.39443214280049549</v>
      </c>
      <c r="E116" s="345">
        <v>0.42499615030033983</v>
      </c>
      <c r="F116" s="345">
        <v>0.40278729220036186</v>
      </c>
      <c r="G116" s="345">
        <v>0.36946218762604299</v>
      </c>
      <c r="H116" s="345">
        <v>0.34825695632148568</v>
      </c>
      <c r="I116" s="345">
        <v>0.37241969476127573</v>
      </c>
      <c r="J116" s="345">
        <v>0.36466775936433443</v>
      </c>
      <c r="K116" s="345">
        <v>0.35783550347385168</v>
      </c>
      <c r="L116" s="380">
        <v>0.34968953897036792</v>
      </c>
      <c r="M116" s="296">
        <f t="shared" si="80"/>
        <v>8.4927802827886228E-2</v>
      </c>
      <c r="N116" s="298">
        <f t="shared" si="81"/>
        <v>8.5579511493428934E-2</v>
      </c>
      <c r="O116" s="344">
        <v>4.1748850580180987E-4</v>
      </c>
      <c r="P116" s="345">
        <v>0.19781708758402963</v>
      </c>
      <c r="Q116" s="345">
        <v>0.41130328951622108</v>
      </c>
      <c r="R116" s="345">
        <v>0.41355350540713604</v>
      </c>
      <c r="S116" s="345">
        <v>0.37850798880200165</v>
      </c>
      <c r="T116" s="345">
        <v>0.35156593353575583</v>
      </c>
      <c r="U116" s="345">
        <v>0.33407744722924643</v>
      </c>
      <c r="V116" s="345">
        <v>0.36466775936433443</v>
      </c>
      <c r="W116" s="345">
        <v>0.35783550347385168</v>
      </c>
      <c r="X116" s="345">
        <v>0.35209572303961834</v>
      </c>
      <c r="Y116" s="380">
        <v>0.34968953897036792</v>
      </c>
      <c r="Z116" s="296">
        <f t="shared" si="82"/>
        <v>0.27161192978747706</v>
      </c>
      <c r="AA116" s="298">
        <f t="shared" si="83"/>
        <v>0.26513236575693633</v>
      </c>
      <c r="AB116" s="948">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49">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6">
        <f t="shared" si="93"/>
        <v>0</v>
      </c>
      <c r="AE116" s="937">
        <f t="shared" si="90"/>
        <v>8.4927802827886228E-2</v>
      </c>
      <c r="AF116" s="937">
        <f t="shared" si="91"/>
        <v>0.27161192978747706</v>
      </c>
      <c r="AG116" s="937">
        <f t="shared" si="92"/>
        <v>0.35653973261536331</v>
      </c>
      <c r="AH116" s="1172">
        <f t="shared" si="88"/>
        <v>0.23820010803538333</v>
      </c>
      <c r="AI116" s="937">
        <f t="shared" si="89"/>
        <v>0.76179989196461662</v>
      </c>
      <c r="AJ116" s="1169"/>
      <c r="AK116" s="1171"/>
      <c r="AL116" s="1171"/>
      <c r="AM116" s="1171"/>
      <c r="AN116" s="1169"/>
      <c r="AO116" s="1171"/>
      <c r="AP116" s="1169"/>
      <c r="AQ116" s="1169"/>
      <c r="AR116" s="1169"/>
      <c r="AS116" s="1169"/>
    </row>
    <row r="117" spans="1:45" x14ac:dyDescent="0.2">
      <c r="A117" s="330">
        <v>2048</v>
      </c>
      <c r="B117" s="344">
        <v>6.8205507274505498E-4</v>
      </c>
      <c r="C117" s="345">
        <v>0.17013329365119761</v>
      </c>
      <c r="D117" s="345">
        <v>0.38268508906027543</v>
      </c>
      <c r="E117" s="345">
        <v>0.38376122254380685</v>
      </c>
      <c r="F117" s="345">
        <v>0.36484304336753726</v>
      </c>
      <c r="G117" s="345">
        <v>0.33807271361763658</v>
      </c>
      <c r="H117" s="345">
        <v>0.3214444243262517</v>
      </c>
      <c r="I117" s="345">
        <v>0.35956401298400642</v>
      </c>
      <c r="J117" s="345">
        <v>0.35321887116277045</v>
      </c>
      <c r="K117" s="345">
        <v>0.35048070615875859</v>
      </c>
      <c r="L117" s="380">
        <v>0.34427229359177747</v>
      </c>
      <c r="M117" s="296">
        <f t="shared" si="80"/>
        <v>7.9162727786192433E-2</v>
      </c>
      <c r="N117" s="298">
        <f t="shared" si="81"/>
        <v>7.9312360497547113E-2</v>
      </c>
      <c r="O117" s="344">
        <v>5.0249912818884843E-4</v>
      </c>
      <c r="P117" s="345">
        <v>0.19775868422433995</v>
      </c>
      <c r="Q117" s="345">
        <v>0.39112291635471108</v>
      </c>
      <c r="R117" s="345">
        <v>0.37884407409750126</v>
      </c>
      <c r="S117" s="345">
        <v>0.34373397273387202</v>
      </c>
      <c r="T117" s="345">
        <v>0.32478244760783709</v>
      </c>
      <c r="U117" s="345">
        <v>0.31075551744563501</v>
      </c>
      <c r="V117" s="345">
        <v>0.35625377724452539</v>
      </c>
      <c r="W117" s="345">
        <v>0.35048070615875859</v>
      </c>
      <c r="X117" s="345">
        <v>0.34806114100090724</v>
      </c>
      <c r="Y117" s="380">
        <v>0.34427229359177747</v>
      </c>
      <c r="Z117" s="296">
        <f t="shared" si="82"/>
        <v>0.25535128359276477</v>
      </c>
      <c r="AA117" s="298">
        <f t="shared" si="83"/>
        <v>0.24808610354369379</v>
      </c>
      <c r="AB117" s="948">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49">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6">
        <f t="shared" si="93"/>
        <v>0</v>
      </c>
      <c r="AE117" s="937">
        <f t="shared" si="90"/>
        <v>7.9162727786192433E-2</v>
      </c>
      <c r="AF117" s="937">
        <f t="shared" si="91"/>
        <v>0.25535128359276477</v>
      </c>
      <c r="AG117" s="937">
        <f t="shared" si="92"/>
        <v>0.3345140113789572</v>
      </c>
      <c r="AH117" s="1172">
        <f t="shared" si="88"/>
        <v>0.23664996111780867</v>
      </c>
      <c r="AI117" s="937">
        <f t="shared" si="89"/>
        <v>0.76335003888219133</v>
      </c>
      <c r="AJ117" s="1169"/>
      <c r="AK117" s="1171"/>
      <c r="AL117" s="1171"/>
      <c r="AM117" s="1171"/>
      <c r="AN117" s="1169"/>
      <c r="AO117" s="1171"/>
      <c r="AP117" s="1169"/>
      <c r="AQ117" s="1169"/>
      <c r="AR117" s="1169"/>
      <c r="AS117" s="1169"/>
    </row>
    <row r="118" spans="1:45" x14ac:dyDescent="0.2">
      <c r="A118" s="330">
        <v>2049</v>
      </c>
      <c r="B118" s="344">
        <v>6.5259534783492889E-4</v>
      </c>
      <c r="C118" s="345">
        <v>0.1701000871635463</v>
      </c>
      <c r="D118" s="345">
        <v>0.36723468434424394</v>
      </c>
      <c r="E118" s="345">
        <v>0.35760597744179967</v>
      </c>
      <c r="F118" s="345">
        <v>0.34083288123812605</v>
      </c>
      <c r="G118" s="345">
        <v>0.31509815533563029</v>
      </c>
      <c r="H118" s="345">
        <v>0.30538155121216121</v>
      </c>
      <c r="I118" s="345">
        <v>0.35528212917339785</v>
      </c>
      <c r="J118" s="345">
        <v>0.34948905513730727</v>
      </c>
      <c r="K118" s="345">
        <v>0.34706145888128498</v>
      </c>
      <c r="L118" s="380">
        <v>0.34194285507864325</v>
      </c>
      <c r="M118" s="296">
        <f t="shared" si="80"/>
        <v>7.5660895219926305E-2</v>
      </c>
      <c r="N118" s="298">
        <f t="shared" si="81"/>
        <v>7.5402406459414859E-2</v>
      </c>
      <c r="O118" s="344">
        <v>5.0240664410219102E-4</v>
      </c>
      <c r="P118" s="345">
        <v>0.19018477339185524</v>
      </c>
      <c r="Q118" s="345">
        <v>0.36865108659152745</v>
      </c>
      <c r="R118" s="345">
        <v>0.35215380669520402</v>
      </c>
      <c r="S118" s="345">
        <v>0.32403917334038512</v>
      </c>
      <c r="T118" s="345">
        <v>0.30858160269133827</v>
      </c>
      <c r="U118" s="345">
        <v>0.29751709776245117</v>
      </c>
      <c r="V118" s="345">
        <v>0.34948905513730727</v>
      </c>
      <c r="W118" s="345">
        <v>0.34706145888128498</v>
      </c>
      <c r="X118" s="345">
        <v>0.34497678031377094</v>
      </c>
      <c r="Y118" s="380">
        <v>0.34194285507864325</v>
      </c>
      <c r="Z118" s="296">
        <f t="shared" si="82"/>
        <v>0.24535247049850067</v>
      </c>
      <c r="AA118" s="298">
        <f t="shared" si="83"/>
        <v>0.2372317158687412</v>
      </c>
      <c r="AB118" s="948">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49">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6">
        <f t="shared" si="93"/>
        <v>0</v>
      </c>
      <c r="AE118" s="937">
        <f t="shared" si="90"/>
        <v>7.5660895219926305E-2</v>
      </c>
      <c r="AF118" s="937">
        <f t="shared" si="91"/>
        <v>0.24535247049850067</v>
      </c>
      <c r="AG118" s="937">
        <f t="shared" si="92"/>
        <v>0.32101336571842698</v>
      </c>
      <c r="AH118" s="1172">
        <f t="shared" si="88"/>
        <v>0.23569390966197759</v>
      </c>
      <c r="AI118" s="937">
        <f t="shared" si="89"/>
        <v>0.76430609033802244</v>
      </c>
      <c r="AJ118" s="1169"/>
      <c r="AK118" s="1171"/>
      <c r="AL118" s="1171"/>
      <c r="AM118" s="1171"/>
      <c r="AN118" s="1169"/>
      <c r="AO118" s="1171"/>
      <c r="AP118" s="1169"/>
      <c r="AQ118" s="1169"/>
      <c r="AR118" s="1169"/>
      <c r="AS118" s="1169"/>
    </row>
    <row r="119" spans="1:45" ht="13.5" thickBot="1" x14ac:dyDescent="0.25">
      <c r="A119" s="328">
        <v>2050</v>
      </c>
      <c r="B119" s="346">
        <v>5.8612837748101172E-4</v>
      </c>
      <c r="C119" s="347">
        <v>0.16290700368149474</v>
      </c>
      <c r="D119" s="347">
        <v>0.32910093255200357</v>
      </c>
      <c r="E119" s="347">
        <v>0.322892394120537</v>
      </c>
      <c r="F119" s="347">
        <v>0.3129582167983771</v>
      </c>
      <c r="G119" s="347">
        <v>0.2949187799267719</v>
      </c>
      <c r="H119" s="347">
        <v>0.28887313640235257</v>
      </c>
      <c r="I119" s="347">
        <v>0.34795034047805351</v>
      </c>
      <c r="J119" s="347">
        <v>0.34341571733496706</v>
      </c>
      <c r="K119" s="347">
        <v>0.34169118253180075</v>
      </c>
      <c r="L119" s="381">
        <v>0.33948610944253288</v>
      </c>
      <c r="M119" s="310">
        <f t="shared" si="80"/>
        <v>7.1657131292444526E-2</v>
      </c>
      <c r="N119" s="312">
        <f t="shared" si="81"/>
        <v>7.0760430797769225E-2</v>
      </c>
      <c r="O119" s="346">
        <v>3.4252863881347584E-4</v>
      </c>
      <c r="P119" s="347">
        <v>0.18796839958653411</v>
      </c>
      <c r="Q119" s="347">
        <v>0.334703154012786</v>
      </c>
      <c r="R119" s="347">
        <v>0.31973677582999066</v>
      </c>
      <c r="S119" s="347">
        <v>0.3000952365928376</v>
      </c>
      <c r="T119" s="347">
        <v>0.28955181969389826</v>
      </c>
      <c r="U119" s="347">
        <v>0.28236689762923362</v>
      </c>
      <c r="V119" s="347">
        <v>0.34341571733496706</v>
      </c>
      <c r="W119" s="347">
        <v>0.34169118253180075</v>
      </c>
      <c r="X119" s="347">
        <v>0.34036739239445657</v>
      </c>
      <c r="Y119" s="381">
        <v>0.33948610944253288</v>
      </c>
      <c r="Z119" s="310">
        <f t="shared" si="82"/>
        <v>0.23366321963882086</v>
      </c>
      <c r="AA119" s="312">
        <f t="shared" si="83"/>
        <v>0.22448115146991593</v>
      </c>
      <c r="AB119" s="950">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1">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7">
        <f t="shared" si="93"/>
        <v>0</v>
      </c>
      <c r="AE119" s="937">
        <f t="shared" si="90"/>
        <v>7.1657131292444526E-2</v>
      </c>
      <c r="AF119" s="937">
        <f t="shared" si="91"/>
        <v>0.23366321963882086</v>
      </c>
      <c r="AG119" s="937">
        <f t="shared" si="92"/>
        <v>0.30532035093126542</v>
      </c>
      <c r="AH119" s="1172">
        <f t="shared" si="88"/>
        <v>0.2346949067557445</v>
      </c>
      <c r="AI119" s="937">
        <f t="shared" si="89"/>
        <v>0.76530509324425544</v>
      </c>
      <c r="AJ119" s="1169"/>
      <c r="AK119" s="1171"/>
      <c r="AL119" s="1171"/>
      <c r="AM119" s="1171"/>
      <c r="AN119" s="1169"/>
      <c r="AO119" s="1171"/>
      <c r="AP119" s="1169"/>
      <c r="AQ119" s="1169"/>
      <c r="AR119" s="1169"/>
      <c r="AS119" s="1169"/>
    </row>
    <row r="120" spans="1:45" x14ac:dyDescent="0.2">
      <c r="B120" s="227" t="str">
        <f>"Output generated: "&amp; TEXT($P$4,"m/dd/yyyy hh:mm")</f>
        <v>Output generated: 8/27/2020 18:37</v>
      </c>
      <c r="U120" s="227" t="str">
        <f>"Output generated: "&amp; TEXT($P$5,"m/dd/yyyy hh:mm")</f>
        <v>Output generated: 8/27/2020 18:37</v>
      </c>
      <c r="AE120" s="937"/>
      <c r="AF120" s="937"/>
      <c r="AG120" s="937"/>
      <c r="AH120" s="937"/>
      <c r="AI120" s="937"/>
    </row>
    <row r="121" spans="1:45" ht="13.5" thickBot="1" x14ac:dyDescent="0.25">
      <c r="AE121" s="937"/>
      <c r="AF121" s="937"/>
      <c r="AG121" s="937"/>
      <c r="AH121" s="937"/>
      <c r="AI121" s="937"/>
    </row>
    <row r="122" spans="1:45" ht="15" x14ac:dyDescent="0.25">
      <c r="A122" s="333"/>
      <c r="B122" s="1538" t="s">
        <v>189</v>
      </c>
      <c r="C122" s="1539"/>
      <c r="D122" s="1539"/>
      <c r="E122" s="1539"/>
      <c r="F122" s="1539"/>
      <c r="G122" s="1539"/>
      <c r="H122" s="1539"/>
      <c r="I122" s="1539"/>
      <c r="J122" s="1539"/>
      <c r="K122" s="1539"/>
      <c r="L122" s="1539"/>
      <c r="M122" s="1539"/>
      <c r="N122" s="1540"/>
      <c r="O122" s="1538" t="s">
        <v>190</v>
      </c>
      <c r="P122" s="1539"/>
      <c r="Q122" s="1539"/>
      <c r="R122" s="1539"/>
      <c r="S122" s="1539"/>
      <c r="T122" s="1539"/>
      <c r="U122" s="1539"/>
      <c r="V122" s="1539"/>
      <c r="W122" s="1539"/>
      <c r="X122" s="1539"/>
      <c r="Y122" s="1539"/>
      <c r="Z122" s="1539"/>
      <c r="AA122" s="1540"/>
      <c r="AE122" s="937"/>
      <c r="AF122" s="937"/>
      <c r="AG122" s="937"/>
      <c r="AH122" s="937"/>
      <c r="AI122" s="937"/>
      <c r="AJ122" s="227"/>
      <c r="AK122" s="227"/>
      <c r="AL122" s="227"/>
      <c r="AM122" s="227"/>
    </row>
    <row r="123" spans="1:45" x14ac:dyDescent="0.2">
      <c r="A123" s="324"/>
      <c r="B123" s="1535" t="s">
        <v>121</v>
      </c>
      <c r="C123" s="1536"/>
      <c r="D123" s="1536"/>
      <c r="E123" s="1536"/>
      <c r="F123" s="1536"/>
      <c r="G123" s="1536"/>
      <c r="H123" s="1536"/>
      <c r="I123" s="1536"/>
      <c r="J123" s="1536"/>
      <c r="K123" s="1536"/>
      <c r="L123" s="1537"/>
      <c r="M123" s="382"/>
      <c r="N123" s="325"/>
      <c r="O123" s="1535" t="s">
        <v>121</v>
      </c>
      <c r="P123" s="1536"/>
      <c r="Q123" s="1536"/>
      <c r="R123" s="1536"/>
      <c r="S123" s="1536"/>
      <c r="T123" s="1536"/>
      <c r="U123" s="1536"/>
      <c r="V123" s="1536"/>
      <c r="W123" s="1536"/>
      <c r="X123" s="1536"/>
      <c r="Y123" s="1537"/>
      <c r="Z123" s="382"/>
      <c r="AA123" s="325"/>
      <c r="AE123" s="937"/>
      <c r="AF123" s="937"/>
      <c r="AG123" s="937"/>
      <c r="AH123" s="937"/>
      <c r="AI123" s="937"/>
      <c r="AJ123" s="227"/>
      <c r="AK123" s="227"/>
      <c r="AL123" s="227"/>
      <c r="AM123" s="227"/>
    </row>
    <row r="124" spans="1:45" ht="13.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3" t="s">
        <v>267</v>
      </c>
      <c r="AD124" s="234" t="b">
        <f>INDEX(TECH_OPT_FUEL2_Cls1,MATCH(RIGHT(O122),TECH_OPT_ROWS_Cls1,0))&lt;&gt;"N/A"</f>
        <v>0</v>
      </c>
      <c r="AE124" s="937"/>
      <c r="AF124" s="937"/>
      <c r="AG124" s="937"/>
      <c r="AH124" s="937"/>
      <c r="AI124" s="937"/>
      <c r="AJ124" s="227"/>
      <c r="AK124" s="227"/>
      <c r="AL124" s="227"/>
      <c r="AM124" s="227"/>
    </row>
    <row r="125" spans="1:45" ht="14.25"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6"/>
      <c r="AC125" s="903" t="s">
        <v>268</v>
      </c>
      <c r="AD125" s="234">
        <f>MATCH(RIGHT(O122),TECH_OPT_ROWS_Cls1,0)</f>
        <v>3</v>
      </c>
      <c r="AE125" s="937"/>
      <c r="AF125" s="937"/>
      <c r="AG125" s="937"/>
      <c r="AH125" s="937"/>
      <c r="AI125" s="937"/>
      <c r="AJ125" s="227"/>
      <c r="AK125" s="227"/>
      <c r="AL125" s="227"/>
      <c r="AM125" s="227"/>
    </row>
    <row r="126" spans="1:45" x14ac:dyDescent="0.2">
      <c r="A126" s="331" t="s">
        <v>125</v>
      </c>
      <c r="B126" s="938">
        <f t="array" ref="B126:L126">TRANSPOSE(Cls1CentVMTShr)</f>
        <v>8.9762242961142352E-4</v>
      </c>
      <c r="C126" s="939">
        <v>1.2044238150123706E-3</v>
      </c>
      <c r="D126" s="939">
        <v>4.1499109643594731E-3</v>
      </c>
      <c r="E126" s="939">
        <v>1.9575808105519295E-2</v>
      </c>
      <c r="F126" s="939">
        <v>3.4523467949689302E-2</v>
      </c>
      <c r="G126" s="939">
        <v>2.7311948935134379E-2</v>
      </c>
      <c r="H126" s="939">
        <v>7.6478458482655817E-2</v>
      </c>
      <c r="I126" s="939">
        <v>3.2480526319280681E-2</v>
      </c>
      <c r="J126" s="939">
        <v>1.1772940427842455E-2</v>
      </c>
      <c r="K126" s="939">
        <v>6.0339283082965706E-3</v>
      </c>
      <c r="L126" s="940">
        <v>1.5952440951210019E-2</v>
      </c>
      <c r="M126" s="386"/>
      <c r="N126" s="334"/>
      <c r="O126" s="938">
        <f t="array" ref="O126:Y126">TRANSPOSE(Cls1NCentVMTShr)</f>
        <v>1.3589913425833078E-3</v>
      </c>
      <c r="P126" s="939">
        <v>5.8692629772239642E-3</v>
      </c>
      <c r="Q126" s="939">
        <v>1.2100393581509007E-2</v>
      </c>
      <c r="R126" s="939">
        <v>3.6555003327388577E-2</v>
      </c>
      <c r="S126" s="939">
        <v>8.3148735051829181E-2</v>
      </c>
      <c r="T126" s="939">
        <v>0.18151138394047112</v>
      </c>
      <c r="U126" s="939">
        <v>0.2383386372324876</v>
      </c>
      <c r="V126" s="939">
        <v>9.5602564448196578E-2</v>
      </c>
      <c r="W126" s="939">
        <v>2.9193025028929166E-2</v>
      </c>
      <c r="X126" s="939">
        <v>3.5209492159336005E-2</v>
      </c>
      <c r="Y126" s="940">
        <v>5.0731034221433824E-2</v>
      </c>
      <c r="Z126" s="386">
        <f>SUM(O126:Y126)</f>
        <v>0.76961852331138836</v>
      </c>
      <c r="AA126" s="334"/>
      <c r="AB126" s="1551" t="str">
        <f>"% of miles on f2 for Tech "&amp; RIGHT(O122)&amp;" adopters"</f>
        <v>% of miles on f2 for Tech B adopters</v>
      </c>
      <c r="AC126" s="1552"/>
      <c r="AD126" s="1553"/>
      <c r="AE126" s="937" t="s">
        <v>305</v>
      </c>
      <c r="AF126" s="937"/>
      <c r="AG126" s="937"/>
      <c r="AH126" s="1172" t="s">
        <v>308</v>
      </c>
      <c r="AI126" s="937"/>
      <c r="AJ126" s="227"/>
      <c r="AK126" s="227"/>
      <c r="AL126" s="227"/>
      <c r="AM126" s="227"/>
    </row>
    <row r="127" spans="1:45" ht="13.5" thickBot="1" x14ac:dyDescent="0.25">
      <c r="A127" s="942" t="s">
        <v>266</v>
      </c>
      <c r="B127" s="933">
        <f t="array" ref="B127:L127">TRANSPOSE(Cls1CentVMT/OPDAYS_Cls1)</f>
        <v>51.642967609234425</v>
      </c>
      <c r="C127" s="934">
        <v>110.97733417848234</v>
      </c>
      <c r="D127" s="934">
        <v>204.40224583551472</v>
      </c>
      <c r="E127" s="934">
        <v>290.24610572847212</v>
      </c>
      <c r="F127" s="934">
        <v>364.75750419264841</v>
      </c>
      <c r="G127" s="934">
        <v>443.63126889109378</v>
      </c>
      <c r="H127" s="934">
        <v>506.78134229373978</v>
      </c>
      <c r="I127" s="934">
        <v>595.71283413609137</v>
      </c>
      <c r="J127" s="934">
        <v>682.23089916089702</v>
      </c>
      <c r="K127" s="934">
        <v>765.26438827532684</v>
      </c>
      <c r="L127" s="935">
        <v>970.27871027310334</v>
      </c>
      <c r="M127" s="931"/>
      <c r="N127" s="932"/>
      <c r="O127" s="933">
        <f t="array" ref="O127:Y127">TRANSPOSE(Cls1NCentVMT/OPDAYS_Cls1)</f>
        <v>47.924548633512046</v>
      </c>
      <c r="P127" s="934">
        <v>112.56389213862748</v>
      </c>
      <c r="Q127" s="934">
        <v>214.67280220238027</v>
      </c>
      <c r="R127" s="934">
        <v>288.30186744262801</v>
      </c>
      <c r="S127" s="934">
        <v>368.60089210549245</v>
      </c>
      <c r="T127" s="934">
        <v>447.31558789932524</v>
      </c>
      <c r="U127" s="934">
        <v>511.28831950097862</v>
      </c>
      <c r="V127" s="934">
        <v>595.73726658362273</v>
      </c>
      <c r="W127" s="934">
        <v>672.11099195240695</v>
      </c>
      <c r="X127" s="934">
        <v>757.0793017898726</v>
      </c>
      <c r="Y127" s="935">
        <v>896.16800791754974</v>
      </c>
      <c r="Z127" s="943"/>
      <c r="AA127" s="932"/>
      <c r="AB127" s="945" t="s">
        <v>186</v>
      </c>
      <c r="AC127" s="946" t="s">
        <v>15</v>
      </c>
      <c r="AD127" s="947" t="s">
        <v>18</v>
      </c>
      <c r="AE127" s="937" t="s">
        <v>186</v>
      </c>
      <c r="AF127" s="937" t="s">
        <v>15</v>
      </c>
      <c r="AG127" s="937" t="s">
        <v>18</v>
      </c>
      <c r="AH127" s="1172" t="s">
        <v>186</v>
      </c>
      <c r="AI127" s="937" t="s">
        <v>15</v>
      </c>
      <c r="AJ127" s="227"/>
      <c r="AK127" s="227"/>
      <c r="AL127" s="227"/>
      <c r="AM127" s="227"/>
    </row>
    <row r="128" spans="1:45" ht="13.5" thickTop="1" x14ac:dyDescent="0.2">
      <c r="A128" s="941">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8">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49">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6">
        <f t="shared" ref="AD128:AD153" si="98">AB128*AH128+AC128*AI128</f>
        <v>0</v>
      </c>
      <c r="AE128" s="937">
        <f t="shared" ref="AE128:AE142" si="99">SUMPRODUCT($B$74:$L$74,B128:L128)</f>
        <v>0</v>
      </c>
      <c r="AF128" s="937">
        <f t="shared" ref="AF128:AF142" si="100">SUMPRODUCT($O$74:$Y$74,O128:Y128)</f>
        <v>0</v>
      </c>
      <c r="AG128" s="937">
        <f t="shared" ref="AG128:AG142" si="101">SUM(AE128:AF128)</f>
        <v>0</v>
      </c>
      <c r="AH128" s="1172">
        <f>IF(AG128&gt;0,AE128/AG128,0)</f>
        <v>0</v>
      </c>
      <c r="AI128" s="937">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8">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49">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6">
        <f t="shared" si="98"/>
        <v>0</v>
      </c>
      <c r="AE129" s="937">
        <f t="shared" si="99"/>
        <v>0</v>
      </c>
      <c r="AF129" s="937">
        <f t="shared" si="100"/>
        <v>0</v>
      </c>
      <c r="AG129" s="937">
        <f t="shared" si="101"/>
        <v>0</v>
      </c>
      <c r="AH129" s="1172">
        <f t="shared" ref="AH129:AH171" si="102">IF(AG129&gt;0,AE129/AG129,0)</f>
        <v>0</v>
      </c>
      <c r="AI129" s="937">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8">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49">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6">
        <f t="shared" si="98"/>
        <v>0</v>
      </c>
      <c r="AE130" s="937">
        <f t="shared" si="99"/>
        <v>0</v>
      </c>
      <c r="AF130" s="937">
        <f t="shared" si="100"/>
        <v>0</v>
      </c>
      <c r="AG130" s="937">
        <f t="shared" si="101"/>
        <v>0</v>
      </c>
      <c r="AH130" s="1172">
        <f t="shared" si="102"/>
        <v>0</v>
      </c>
      <c r="AI130" s="937">
        <f t="shared" si="103"/>
        <v>0</v>
      </c>
      <c r="AJ130" s="227"/>
      <c r="AK130" s="227"/>
      <c r="AL130" s="227"/>
      <c r="AM130" s="227"/>
    </row>
    <row r="131" spans="1:39" ht="13.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8">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49">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6">
        <f t="shared" si="98"/>
        <v>0</v>
      </c>
      <c r="AE131" s="937">
        <f t="shared" si="99"/>
        <v>0</v>
      </c>
      <c r="AF131" s="937">
        <f t="shared" si="100"/>
        <v>0</v>
      </c>
      <c r="AG131" s="937">
        <f t="shared" si="101"/>
        <v>0</v>
      </c>
      <c r="AH131" s="1172">
        <f t="shared" si="102"/>
        <v>0</v>
      </c>
      <c r="AI131" s="937">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8">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49">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6">
        <f t="shared" si="98"/>
        <v>0</v>
      </c>
      <c r="AE132" s="937">
        <f t="shared" si="99"/>
        <v>0</v>
      </c>
      <c r="AF132" s="937">
        <f t="shared" si="100"/>
        <v>0</v>
      </c>
      <c r="AG132" s="937">
        <f t="shared" si="101"/>
        <v>0</v>
      </c>
      <c r="AH132" s="1172">
        <f t="shared" si="102"/>
        <v>0</v>
      </c>
      <c r="AI132" s="937">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8">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49">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6">
        <f t="shared" si="98"/>
        <v>0</v>
      </c>
      <c r="AE133" s="937">
        <f t="shared" si="99"/>
        <v>0</v>
      </c>
      <c r="AF133" s="937">
        <f t="shared" si="100"/>
        <v>0</v>
      </c>
      <c r="AG133" s="937">
        <f t="shared" si="101"/>
        <v>0</v>
      </c>
      <c r="AH133" s="1172">
        <f t="shared" si="102"/>
        <v>0</v>
      </c>
      <c r="AI133" s="937">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8">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49">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6">
        <f t="shared" si="98"/>
        <v>0</v>
      </c>
      <c r="AE134" s="937">
        <f t="shared" si="99"/>
        <v>0</v>
      </c>
      <c r="AF134" s="937">
        <f t="shared" si="100"/>
        <v>0</v>
      </c>
      <c r="AG134" s="937">
        <f t="shared" si="101"/>
        <v>0</v>
      </c>
      <c r="AH134" s="1172">
        <f t="shared" si="102"/>
        <v>0</v>
      </c>
      <c r="AI134" s="937">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8">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49">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6">
        <f t="shared" si="98"/>
        <v>0</v>
      </c>
      <c r="AE135" s="937">
        <f t="shared" si="99"/>
        <v>0</v>
      </c>
      <c r="AF135" s="937">
        <f t="shared" si="100"/>
        <v>0</v>
      </c>
      <c r="AG135" s="937">
        <f t="shared" si="101"/>
        <v>0</v>
      </c>
      <c r="AH135" s="1172">
        <f t="shared" si="102"/>
        <v>0</v>
      </c>
      <c r="AI135" s="937">
        <f t="shared" si="103"/>
        <v>0</v>
      </c>
      <c r="AJ135" s="227"/>
      <c r="AK135" s="227"/>
      <c r="AL135" s="227"/>
      <c r="AM135" s="227"/>
    </row>
    <row r="136" spans="1:39" ht="13.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8">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49">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6">
        <f t="shared" si="98"/>
        <v>0</v>
      </c>
      <c r="AE136" s="937">
        <f t="shared" si="99"/>
        <v>0</v>
      </c>
      <c r="AF136" s="937">
        <f t="shared" si="100"/>
        <v>0</v>
      </c>
      <c r="AG136" s="937">
        <f t="shared" si="101"/>
        <v>0</v>
      </c>
      <c r="AH136" s="1172">
        <f t="shared" si="102"/>
        <v>0</v>
      </c>
      <c r="AI136" s="937">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8">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49">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6">
        <f t="shared" si="98"/>
        <v>0</v>
      </c>
      <c r="AE137" s="937">
        <f t="shared" si="99"/>
        <v>0</v>
      </c>
      <c r="AF137" s="937">
        <f t="shared" si="100"/>
        <v>0</v>
      </c>
      <c r="AG137" s="937">
        <f t="shared" si="101"/>
        <v>0</v>
      </c>
      <c r="AH137" s="1172">
        <f t="shared" si="102"/>
        <v>0</v>
      </c>
      <c r="AI137" s="937">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8">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49">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6">
        <f t="shared" si="98"/>
        <v>0</v>
      </c>
      <c r="AE138" s="937">
        <f t="shared" si="99"/>
        <v>0</v>
      </c>
      <c r="AF138" s="937">
        <f t="shared" si="100"/>
        <v>0</v>
      </c>
      <c r="AG138" s="937">
        <f t="shared" si="101"/>
        <v>0</v>
      </c>
      <c r="AH138" s="1172">
        <f t="shared" si="102"/>
        <v>0</v>
      </c>
      <c r="AI138" s="937">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8">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49">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6">
        <f t="shared" si="98"/>
        <v>0</v>
      </c>
      <c r="AE139" s="937">
        <f t="shared" si="99"/>
        <v>0</v>
      </c>
      <c r="AF139" s="937">
        <f t="shared" si="100"/>
        <v>0</v>
      </c>
      <c r="AG139" s="937">
        <f t="shared" si="101"/>
        <v>0</v>
      </c>
      <c r="AH139" s="1172">
        <f t="shared" si="102"/>
        <v>0</v>
      </c>
      <c r="AI139" s="937">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8">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49">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6">
        <f t="shared" si="98"/>
        <v>0</v>
      </c>
      <c r="AE140" s="937">
        <f t="shared" si="99"/>
        <v>0</v>
      </c>
      <c r="AF140" s="937">
        <f t="shared" si="100"/>
        <v>0</v>
      </c>
      <c r="AG140" s="937">
        <f t="shared" si="101"/>
        <v>0</v>
      </c>
      <c r="AH140" s="1172">
        <f t="shared" si="102"/>
        <v>0</v>
      </c>
      <c r="AI140" s="937">
        <f t="shared" si="103"/>
        <v>0</v>
      </c>
      <c r="AJ140" s="227"/>
      <c r="AK140" s="227"/>
      <c r="AL140" s="227"/>
      <c r="AM140" s="227"/>
    </row>
    <row r="141" spans="1:39" ht="13.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8">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49">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6">
        <f t="shared" si="98"/>
        <v>0</v>
      </c>
      <c r="AE141" s="937">
        <f t="shared" si="99"/>
        <v>0</v>
      </c>
      <c r="AF141" s="937">
        <f t="shared" si="100"/>
        <v>0</v>
      </c>
      <c r="AG141" s="937">
        <f t="shared" si="101"/>
        <v>0</v>
      </c>
      <c r="AH141" s="1172">
        <f t="shared" si="102"/>
        <v>0</v>
      </c>
      <c r="AI141" s="937">
        <f t="shared" si="103"/>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96"/>
        <v>0</v>
      </c>
      <c r="AA142" s="284">
        <f t="shared" si="97"/>
        <v>0</v>
      </c>
      <c r="AB142" s="948">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49">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6">
        <f t="shared" si="98"/>
        <v>0</v>
      </c>
      <c r="AE142" s="937">
        <f t="shared" si="99"/>
        <v>0</v>
      </c>
      <c r="AF142" s="937">
        <f t="shared" si="100"/>
        <v>0</v>
      </c>
      <c r="AG142" s="937">
        <f t="shared" si="101"/>
        <v>0</v>
      </c>
      <c r="AH142" s="1172">
        <f t="shared" si="102"/>
        <v>0</v>
      </c>
      <c r="AI142" s="937">
        <f t="shared" si="103"/>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96"/>
        <v>0</v>
      </c>
      <c r="AA143" s="298">
        <f t="shared" si="97"/>
        <v>0</v>
      </c>
      <c r="AB143" s="948">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49">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6">
        <f t="shared" si="98"/>
        <v>0</v>
      </c>
      <c r="AE143" s="937">
        <f>SUMPRODUCT($B$74:$L$74,B143:L143)</f>
        <v>0</v>
      </c>
      <c r="AF143" s="937">
        <f>SUMPRODUCT($O$74:$Y$74,O143:Y143)</f>
        <v>0</v>
      </c>
      <c r="AG143" s="937">
        <f>SUM(AE143:AF143)</f>
        <v>0</v>
      </c>
      <c r="AH143" s="1172">
        <f t="shared" si="102"/>
        <v>0</v>
      </c>
      <c r="AI143" s="937">
        <f t="shared" si="103"/>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96"/>
        <v>0</v>
      </c>
      <c r="AA144" s="298">
        <f t="shared" si="97"/>
        <v>0</v>
      </c>
      <c r="AB144" s="948">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49">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6">
        <f t="shared" si="98"/>
        <v>0</v>
      </c>
      <c r="AE144" s="937">
        <f t="shared" ref="AE144:AE171" si="104">SUMPRODUCT($B$74:$L$74,B144:L144)</f>
        <v>0</v>
      </c>
      <c r="AF144" s="937">
        <f t="shared" ref="AF144:AF171" si="105">SUMPRODUCT($O$74:$Y$74,O144:Y144)</f>
        <v>0</v>
      </c>
      <c r="AG144" s="937">
        <f t="shared" ref="AG144:AG171" si="106">SUM(AE144:AF144)</f>
        <v>0</v>
      </c>
      <c r="AH144" s="1172">
        <f t="shared" si="102"/>
        <v>0</v>
      </c>
      <c r="AI144" s="937">
        <f t="shared" si="103"/>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96"/>
        <v>0</v>
      </c>
      <c r="AA145" s="298">
        <f t="shared" si="97"/>
        <v>0</v>
      </c>
      <c r="AB145" s="948">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49">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6">
        <f t="shared" si="98"/>
        <v>0</v>
      </c>
      <c r="AE145" s="937">
        <f t="shared" si="104"/>
        <v>0</v>
      </c>
      <c r="AF145" s="937">
        <f t="shared" si="105"/>
        <v>0</v>
      </c>
      <c r="AG145" s="937">
        <f t="shared" si="106"/>
        <v>0</v>
      </c>
      <c r="AH145" s="1172">
        <f t="shared" si="102"/>
        <v>0</v>
      </c>
      <c r="AI145" s="937">
        <f t="shared" si="103"/>
        <v>0</v>
      </c>
      <c r="AJ145" s="227"/>
      <c r="AK145" s="227"/>
      <c r="AL145" s="227"/>
      <c r="AM145" s="227"/>
    </row>
    <row r="146" spans="1:39" ht="13.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96"/>
        <v>0</v>
      </c>
      <c r="AA146" s="312">
        <f t="shared" si="97"/>
        <v>0</v>
      </c>
      <c r="AB146" s="948">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49">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6">
        <f t="shared" si="98"/>
        <v>0</v>
      </c>
      <c r="AE146" s="937">
        <f t="shared" si="104"/>
        <v>0</v>
      </c>
      <c r="AF146" s="937">
        <f t="shared" si="105"/>
        <v>0</v>
      </c>
      <c r="AG146" s="937">
        <f t="shared" si="106"/>
        <v>0</v>
      </c>
      <c r="AH146" s="1172">
        <f t="shared" si="102"/>
        <v>0</v>
      </c>
      <c r="AI146" s="937">
        <f t="shared" si="103"/>
        <v>0</v>
      </c>
      <c r="AJ146" s="227"/>
      <c r="AK146" s="227"/>
      <c r="AL146" s="227"/>
      <c r="AM146" s="227"/>
    </row>
    <row r="147" spans="1:39" x14ac:dyDescent="0.2">
      <c r="A147" s="329">
        <v>2026</v>
      </c>
      <c r="B147" s="342">
        <v>0</v>
      </c>
      <c r="C147" s="343">
        <v>0</v>
      </c>
      <c r="D147" s="343">
        <v>3.2897551423401793E-5</v>
      </c>
      <c r="E147" s="343">
        <v>1.6752851304270159E-3</v>
      </c>
      <c r="F147" s="343">
        <v>5.4709347173033289E-3</v>
      </c>
      <c r="G147" s="343">
        <v>9.449580440166765E-3</v>
      </c>
      <c r="H147" s="343">
        <v>1.263887619199325E-2</v>
      </c>
      <c r="I147" s="343">
        <v>1.5493690802414129E-2</v>
      </c>
      <c r="J147" s="343">
        <v>1.7534490426162376E-2</v>
      </c>
      <c r="K147" s="343">
        <v>1.9016112079354049E-2</v>
      </c>
      <c r="L147" s="379">
        <v>2.1355646008239727E-2</v>
      </c>
      <c r="M147" s="282">
        <f t="shared" si="94"/>
        <v>2.6115877300904836E-3</v>
      </c>
      <c r="N147" s="284">
        <f t="shared" si="95"/>
        <v>2.1801902159301616E-3</v>
      </c>
      <c r="O147" s="342">
        <v>0</v>
      </c>
      <c r="P147" s="343">
        <v>0</v>
      </c>
      <c r="Q147" s="343">
        <v>1.4765107985269195E-4</v>
      </c>
      <c r="R147" s="343">
        <v>2.1126080260870971E-3</v>
      </c>
      <c r="S147" s="343">
        <v>6.5162725600431725E-3</v>
      </c>
      <c r="T147" s="343">
        <v>1.0642712492913741E-2</v>
      </c>
      <c r="U147" s="343">
        <v>1.3414144194081873E-2</v>
      </c>
      <c r="V147" s="343">
        <v>1.6279572663800944E-2</v>
      </c>
      <c r="W147" s="343">
        <v>1.8287320094246131E-2</v>
      </c>
      <c r="X147" s="343">
        <v>1.9714329502203615E-2</v>
      </c>
      <c r="Y147" s="379">
        <v>2.1355646008239727E-2</v>
      </c>
      <c r="Z147" s="282">
        <f t="shared" si="96"/>
        <v>9.6174717970521784E-3</v>
      </c>
      <c r="AA147" s="284">
        <f t="shared" si="97"/>
        <v>8.1604942050623602E-3</v>
      </c>
      <c r="AB147" s="948">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49">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6">
        <f t="shared" si="98"/>
        <v>0</v>
      </c>
      <c r="AE147" s="937">
        <f t="shared" si="104"/>
        <v>2.6115877300904836E-3</v>
      </c>
      <c r="AF147" s="937">
        <f t="shared" si="105"/>
        <v>9.6174717970521784E-3</v>
      </c>
      <c r="AG147" s="937">
        <f t="shared" si="106"/>
        <v>1.2229059527142662E-2</v>
      </c>
      <c r="AH147" s="1172">
        <f t="shared" si="102"/>
        <v>0.21355589318164722</v>
      </c>
      <c r="AI147" s="937">
        <f t="shared" si="103"/>
        <v>0.78644410681835286</v>
      </c>
      <c r="AJ147" s="227"/>
      <c r="AK147" s="227"/>
      <c r="AL147" s="227"/>
      <c r="AM147" s="227"/>
    </row>
    <row r="148" spans="1:39" x14ac:dyDescent="0.2">
      <c r="A148" s="330">
        <v>2027</v>
      </c>
      <c r="B148" s="344">
        <v>0</v>
      </c>
      <c r="C148" s="345">
        <v>0</v>
      </c>
      <c r="D148" s="345">
        <v>4.0509692294469148E-5</v>
      </c>
      <c r="E148" s="345">
        <v>2.6374308429331695E-3</v>
      </c>
      <c r="F148" s="345">
        <v>9.9672724189512306E-3</v>
      </c>
      <c r="G148" s="345">
        <v>2.0063005424380158E-2</v>
      </c>
      <c r="H148" s="345">
        <v>2.5908892060979811E-2</v>
      </c>
      <c r="I148" s="345">
        <v>3.3407739924351872E-2</v>
      </c>
      <c r="J148" s="345">
        <v>3.8623646453813283E-2</v>
      </c>
      <c r="K148" s="345">
        <v>4.5123782310313824E-2</v>
      </c>
      <c r="L148" s="380">
        <v>5.2057567773881153E-2</v>
      </c>
      <c r="M148" s="296">
        <f t="shared" si="94"/>
        <v>5.5678684751672425E-3</v>
      </c>
      <c r="N148" s="298">
        <f t="shared" si="95"/>
        <v>4.5564701330428024E-3</v>
      </c>
      <c r="O148" s="344">
        <v>0</v>
      </c>
      <c r="P148" s="345">
        <v>0</v>
      </c>
      <c r="Q148" s="345">
        <v>1.8049553744714955E-4</v>
      </c>
      <c r="R148" s="345">
        <v>3.3668170911614705E-3</v>
      </c>
      <c r="S148" s="345">
        <v>1.1507070640125995E-2</v>
      </c>
      <c r="T148" s="345">
        <v>2.084250070705497E-2</v>
      </c>
      <c r="U148" s="345">
        <v>2.9574173959907631E-2</v>
      </c>
      <c r="V148" s="345">
        <v>3.4654542600692E-2</v>
      </c>
      <c r="W148" s="345">
        <v>4.1277833377918675E-2</v>
      </c>
      <c r="X148" s="345">
        <v>4.451451495789753E-2</v>
      </c>
      <c r="Y148" s="380">
        <v>4.9993221808492909E-2</v>
      </c>
      <c r="Z148" s="296">
        <f t="shared" si="96"/>
        <v>2.0535505189030256E-2</v>
      </c>
      <c r="AA148" s="298">
        <f t="shared" si="97"/>
        <v>1.7157659629291448E-2</v>
      </c>
      <c r="AB148" s="948">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49">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6">
        <f t="shared" si="98"/>
        <v>0</v>
      </c>
      <c r="AE148" s="937">
        <f t="shared" si="104"/>
        <v>5.5678684751672425E-3</v>
      </c>
      <c r="AF148" s="937">
        <f t="shared" si="105"/>
        <v>2.0535505189030256E-2</v>
      </c>
      <c r="AG148" s="937">
        <f t="shared" si="106"/>
        <v>2.6103373664197498E-2</v>
      </c>
      <c r="AH148" s="1172">
        <f t="shared" si="102"/>
        <v>0.21330072299443584</v>
      </c>
      <c r="AI148" s="937">
        <f t="shared" si="103"/>
        <v>0.78669927700556419</v>
      </c>
      <c r="AJ148" s="227"/>
      <c r="AK148" s="227"/>
      <c r="AL148" s="227"/>
      <c r="AM148" s="227"/>
    </row>
    <row r="149" spans="1:39" x14ac:dyDescent="0.2">
      <c r="A149" s="330">
        <v>2028</v>
      </c>
      <c r="B149" s="344">
        <v>0</v>
      </c>
      <c r="C149" s="345">
        <v>0</v>
      </c>
      <c r="D149" s="345">
        <v>2.9489937143732585E-3</v>
      </c>
      <c r="E149" s="345">
        <v>2.9296873012531196E-2</v>
      </c>
      <c r="F149" s="345">
        <v>5.7664480397121146E-2</v>
      </c>
      <c r="G149" s="345">
        <v>8.1406253489036046E-2</v>
      </c>
      <c r="H149" s="345">
        <v>9.6643907306743188E-2</v>
      </c>
      <c r="I149" s="345">
        <v>0.10790957982480075</v>
      </c>
      <c r="J149" s="345">
        <v>0.11680341286436184</v>
      </c>
      <c r="K149" s="345">
        <v>0.12105139728746914</v>
      </c>
      <c r="L149" s="380">
        <v>0.12964263840238882</v>
      </c>
      <c r="M149" s="296">
        <f t="shared" si="94"/>
        <v>1.9869677912960911E-2</v>
      </c>
      <c r="N149" s="298">
        <f t="shared" si="95"/>
        <v>1.7406474273889028E-2</v>
      </c>
      <c r="O149" s="344">
        <v>0</v>
      </c>
      <c r="P149" s="345">
        <v>0</v>
      </c>
      <c r="Q149" s="345">
        <v>7.4157464411151175E-3</v>
      </c>
      <c r="R149" s="345">
        <v>3.464709796823013E-2</v>
      </c>
      <c r="S149" s="345">
        <v>6.5015008868031327E-2</v>
      </c>
      <c r="T149" s="345">
        <v>8.9113931730445975E-2</v>
      </c>
      <c r="U149" s="345">
        <v>0.10090839484684364</v>
      </c>
      <c r="V149" s="345">
        <v>0.11176494235120463</v>
      </c>
      <c r="W149" s="345">
        <v>0.11786082827685662</v>
      </c>
      <c r="X149" s="345">
        <v>0.12318619683627814</v>
      </c>
      <c r="Y149" s="380">
        <v>0.12760105556446061</v>
      </c>
      <c r="Z149" s="296">
        <f t="shared" si="96"/>
        <v>7.1924122530969539E-2</v>
      </c>
      <c r="AA149" s="298">
        <f t="shared" si="97"/>
        <v>6.3400929462782196E-2</v>
      </c>
      <c r="AB149" s="948">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49">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6">
        <f t="shared" si="98"/>
        <v>0</v>
      </c>
      <c r="AE149" s="937">
        <f t="shared" si="104"/>
        <v>1.9869677912960911E-2</v>
      </c>
      <c r="AF149" s="937">
        <f t="shared" si="105"/>
        <v>7.1924122530969539E-2</v>
      </c>
      <c r="AG149" s="937">
        <f t="shared" si="106"/>
        <v>9.1793800443930457E-2</v>
      </c>
      <c r="AH149" s="1172">
        <f t="shared" si="102"/>
        <v>0.2164599114195922</v>
      </c>
      <c r="AI149" s="937">
        <f t="shared" si="103"/>
        <v>0.78354008858040769</v>
      </c>
      <c r="AJ149" s="227"/>
      <c r="AK149" s="227"/>
      <c r="AL149" s="227"/>
      <c r="AM149" s="227"/>
    </row>
    <row r="150" spans="1:39" x14ac:dyDescent="0.2">
      <c r="A150" s="330">
        <v>2029</v>
      </c>
      <c r="B150" s="344">
        <v>0</v>
      </c>
      <c r="C150" s="345">
        <v>0</v>
      </c>
      <c r="D150" s="345">
        <v>1.0875066244006089E-2</v>
      </c>
      <c r="E150" s="345">
        <v>7.6409936988785759E-2</v>
      </c>
      <c r="F150" s="345">
        <v>0.13066636340448562</v>
      </c>
      <c r="G150" s="345">
        <v>0.16779884230317596</v>
      </c>
      <c r="H150" s="345">
        <v>0.18966940838368515</v>
      </c>
      <c r="I150" s="345">
        <v>0.21263081953715779</v>
      </c>
      <c r="J150" s="345">
        <v>0.22505051203494109</v>
      </c>
      <c r="K150" s="345">
        <v>0.23033718548454277</v>
      </c>
      <c r="L150" s="380">
        <v>0.2410221263201211</v>
      </c>
      <c r="M150" s="296">
        <f t="shared" si="94"/>
        <v>3.9931106720164228E-2</v>
      </c>
      <c r="N150" s="298">
        <f t="shared" si="95"/>
        <v>3.5636168623237666E-2</v>
      </c>
      <c r="O150" s="344">
        <v>0</v>
      </c>
      <c r="P150" s="345">
        <v>0</v>
      </c>
      <c r="Q150" s="345">
        <v>2.2383946982564084E-2</v>
      </c>
      <c r="R150" s="345">
        <v>8.2882357219178929E-2</v>
      </c>
      <c r="S150" s="345">
        <v>0.14512211013339543</v>
      </c>
      <c r="T150" s="345">
        <v>0.18186309248222721</v>
      </c>
      <c r="U150" s="345">
        <v>0.20061872588349869</v>
      </c>
      <c r="V150" s="345">
        <v>0.21451543310145404</v>
      </c>
      <c r="W150" s="345">
        <v>0.22505051203494109</v>
      </c>
      <c r="X150" s="345">
        <v>0.23397639592906938</v>
      </c>
      <c r="Y150" s="380">
        <v>0.2410221263201211</v>
      </c>
      <c r="Z150" s="296">
        <f t="shared" si="96"/>
        <v>0.14373637719773064</v>
      </c>
      <c r="AA150" s="298">
        <f t="shared" si="97"/>
        <v>0.12825579662529665</v>
      </c>
      <c r="AB150" s="948">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49">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6">
        <f t="shared" si="98"/>
        <v>0</v>
      </c>
      <c r="AE150" s="937">
        <f t="shared" si="104"/>
        <v>3.9931106720164228E-2</v>
      </c>
      <c r="AF150" s="937">
        <f t="shared" si="105"/>
        <v>0.14373637719773064</v>
      </c>
      <c r="AG150" s="937">
        <f t="shared" si="106"/>
        <v>0.18366748391789486</v>
      </c>
      <c r="AH150" s="1172">
        <f t="shared" si="102"/>
        <v>0.21740977699686181</v>
      </c>
      <c r="AI150" s="937">
        <f t="shared" si="103"/>
        <v>0.78259022300313819</v>
      </c>
      <c r="AJ150" s="227"/>
      <c r="AK150" s="227"/>
      <c r="AL150" s="227"/>
      <c r="AM150" s="227"/>
    </row>
    <row r="151" spans="1:39" ht="13.5" thickBot="1" x14ac:dyDescent="0.25">
      <c r="A151" s="328">
        <v>2030</v>
      </c>
      <c r="B151" s="346">
        <v>0</v>
      </c>
      <c r="C151" s="347">
        <v>0</v>
      </c>
      <c r="D151" s="347">
        <v>4.1712513925873371E-2</v>
      </c>
      <c r="E151" s="347">
        <v>0.1611825701291151</v>
      </c>
      <c r="F151" s="347">
        <v>0.23622611262172449</v>
      </c>
      <c r="G151" s="347">
        <v>0.27994683959047412</v>
      </c>
      <c r="H151" s="347">
        <v>0.3064333491733881</v>
      </c>
      <c r="I151" s="347">
        <v>0.32904352794641817</v>
      </c>
      <c r="J151" s="347">
        <v>0.34209345733206042</v>
      </c>
      <c r="K151" s="347">
        <v>0.34820039955418508</v>
      </c>
      <c r="L151" s="381">
        <v>0.35947224610346484</v>
      </c>
      <c r="M151" s="310">
        <f t="shared" si="94"/>
        <v>6.5115599760547316E-2</v>
      </c>
      <c r="N151" s="312">
        <f t="shared" si="95"/>
        <v>5.9455934410822101E-2</v>
      </c>
      <c r="O151" s="346">
        <v>0</v>
      </c>
      <c r="P151" s="347">
        <v>0</v>
      </c>
      <c r="Q151" s="347">
        <v>6.8745134999813926E-2</v>
      </c>
      <c r="R151" s="347">
        <v>0.17246842385654787</v>
      </c>
      <c r="S151" s="347">
        <v>0.24812724385497703</v>
      </c>
      <c r="T151" s="347">
        <v>0.28830891500230199</v>
      </c>
      <c r="U151" s="347">
        <v>0.31364084724389268</v>
      </c>
      <c r="V151" s="347">
        <v>0.33090430431504003</v>
      </c>
      <c r="W151" s="347">
        <v>0.34341154497410065</v>
      </c>
      <c r="X151" s="347">
        <v>0.35239449542336682</v>
      </c>
      <c r="Y151" s="381">
        <v>0.35653906565234023</v>
      </c>
      <c r="Z151" s="310">
        <f t="shared" si="96"/>
        <v>0.2270077244052966</v>
      </c>
      <c r="AA151" s="312">
        <f t="shared" si="97"/>
        <v>0.20549439998837965</v>
      </c>
      <c r="AB151" s="948">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49">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6">
        <f t="shared" si="98"/>
        <v>0</v>
      </c>
      <c r="AE151" s="937">
        <f t="shared" si="104"/>
        <v>6.5115599760547316E-2</v>
      </c>
      <c r="AF151" s="937">
        <f t="shared" si="105"/>
        <v>0.2270077244052966</v>
      </c>
      <c r="AG151" s="937">
        <f t="shared" si="106"/>
        <v>0.29212332416584391</v>
      </c>
      <c r="AH151" s="1172">
        <f t="shared" si="102"/>
        <v>0.22290448715960784</v>
      </c>
      <c r="AI151" s="937">
        <f t="shared" si="103"/>
        <v>0.77709551284039213</v>
      </c>
      <c r="AJ151" s="227"/>
      <c r="AK151" s="227"/>
      <c r="AL151" s="227"/>
      <c r="AM151" s="227"/>
    </row>
    <row r="152" spans="1:39" x14ac:dyDescent="0.2">
      <c r="A152" s="329">
        <v>2031</v>
      </c>
      <c r="B152" s="342">
        <v>0</v>
      </c>
      <c r="C152" s="343">
        <v>0</v>
      </c>
      <c r="D152" s="343">
        <v>7.5647201789756771E-2</v>
      </c>
      <c r="E152" s="343">
        <v>0.22169782710889105</v>
      </c>
      <c r="F152" s="343">
        <v>0.31303830342085082</v>
      </c>
      <c r="G152" s="343">
        <v>0.35996133724956814</v>
      </c>
      <c r="H152" s="343">
        <v>0.38058582596305279</v>
      </c>
      <c r="I152" s="343">
        <v>0.4057448692532884</v>
      </c>
      <c r="J152" s="343">
        <v>0.41951223566944501</v>
      </c>
      <c r="K152" s="343">
        <v>0.42523856296140766</v>
      </c>
      <c r="L152" s="379">
        <v>0.43309196354422946</v>
      </c>
      <c r="M152" s="282">
        <f t="shared" si="94"/>
        <v>8.199130650148205E-2</v>
      </c>
      <c r="N152" s="284">
        <f t="shared" si="95"/>
        <v>7.5681883259843083E-2</v>
      </c>
      <c r="O152" s="342">
        <v>0</v>
      </c>
      <c r="P152" s="343">
        <v>1.7080916024489874E-4</v>
      </c>
      <c r="Q152" s="343">
        <v>0.11889613744244992</v>
      </c>
      <c r="R152" s="343">
        <v>0.24743670109780813</v>
      </c>
      <c r="S152" s="343">
        <v>0.32378084367994808</v>
      </c>
      <c r="T152" s="343">
        <v>0.36919279989390275</v>
      </c>
      <c r="U152" s="343">
        <v>0.38881224261121217</v>
      </c>
      <c r="V152" s="343">
        <v>0.41374289269209336</v>
      </c>
      <c r="W152" s="343">
        <v>0.41951223566944501</v>
      </c>
      <c r="X152" s="343">
        <v>0.42523856296140766</v>
      </c>
      <c r="Y152" s="379">
        <v>0.43309196354422946</v>
      </c>
      <c r="Z152" s="282">
        <f t="shared" si="96"/>
        <v>0.28583373552451524</v>
      </c>
      <c r="AA152" s="284">
        <f t="shared" si="97"/>
        <v>0.26108070334648747</v>
      </c>
      <c r="AB152" s="948">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49">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6">
        <f t="shared" si="98"/>
        <v>0</v>
      </c>
      <c r="AE152" s="937">
        <f t="shared" si="104"/>
        <v>8.199130650148205E-2</v>
      </c>
      <c r="AF152" s="937">
        <f t="shared" si="105"/>
        <v>0.28583373552451524</v>
      </c>
      <c r="AG152" s="937">
        <f t="shared" si="106"/>
        <v>0.36782504202599731</v>
      </c>
      <c r="AH152" s="1172">
        <f t="shared" si="102"/>
        <v>0.22290844051799777</v>
      </c>
      <c r="AI152" s="937">
        <f t="shared" si="103"/>
        <v>0.77709155948200215</v>
      </c>
      <c r="AJ152" s="227"/>
      <c r="AK152" s="227"/>
      <c r="AL152" s="227"/>
      <c r="AM152" s="227"/>
    </row>
    <row r="153" spans="1:39" x14ac:dyDescent="0.2">
      <c r="A153" s="330">
        <v>2032</v>
      </c>
      <c r="B153" s="344">
        <v>0</v>
      </c>
      <c r="C153" s="345">
        <v>0</v>
      </c>
      <c r="D153" s="345">
        <v>9.9540050768151367E-2</v>
      </c>
      <c r="E153" s="345">
        <v>0.26759981839188607</v>
      </c>
      <c r="F153" s="345">
        <v>0.35016357560292094</v>
      </c>
      <c r="G153" s="345">
        <v>0.39927487825188573</v>
      </c>
      <c r="H153" s="345">
        <v>0.42049248819524926</v>
      </c>
      <c r="I153" s="345">
        <v>0.44745390977535865</v>
      </c>
      <c r="J153" s="345">
        <v>0.45440430851193186</v>
      </c>
      <c r="K153" s="345">
        <v>0.45988587847520934</v>
      </c>
      <c r="L153" s="380">
        <v>0.47129768603836558</v>
      </c>
      <c r="M153" s="296">
        <f t="shared" si="94"/>
        <v>9.0980498683145436E-2</v>
      </c>
      <c r="N153" s="298">
        <f t="shared" si="95"/>
        <v>8.4511967179205644E-2</v>
      </c>
      <c r="O153" s="344">
        <v>0</v>
      </c>
      <c r="P153" s="345">
        <v>4.7593760065897531E-4</v>
      </c>
      <c r="Q153" s="345">
        <v>0.15078539754138848</v>
      </c>
      <c r="R153" s="345">
        <v>0.28316267142598517</v>
      </c>
      <c r="S153" s="345">
        <v>0.36476543936933598</v>
      </c>
      <c r="T153" s="345">
        <v>0.4115960455309382</v>
      </c>
      <c r="U153" s="345">
        <v>0.43115835465711694</v>
      </c>
      <c r="V153" s="345">
        <v>0.44745390977535865</v>
      </c>
      <c r="W153" s="345">
        <v>0.45988587847520934</v>
      </c>
      <c r="X153" s="345">
        <v>0.46455736524520824</v>
      </c>
      <c r="Y153" s="380">
        <v>0.46837887895336539</v>
      </c>
      <c r="Z153" s="296">
        <f t="shared" si="96"/>
        <v>0.31630059091262991</v>
      </c>
      <c r="AA153" s="298">
        <f t="shared" si="97"/>
        <v>0.29012156911775561</v>
      </c>
      <c r="AB153" s="948">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49">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6">
        <f t="shared" si="98"/>
        <v>0</v>
      </c>
      <c r="AE153" s="937">
        <f t="shared" si="104"/>
        <v>9.0980498683145436E-2</v>
      </c>
      <c r="AF153" s="937">
        <f t="shared" si="105"/>
        <v>0.31630059091262991</v>
      </c>
      <c r="AG153" s="937">
        <f t="shared" si="106"/>
        <v>0.40728108959577536</v>
      </c>
      <c r="AH153" s="1172">
        <f t="shared" si="102"/>
        <v>0.22338503065154133</v>
      </c>
      <c r="AI153" s="937">
        <f t="shared" si="103"/>
        <v>0.77661496934845864</v>
      </c>
      <c r="AJ153" s="227"/>
      <c r="AK153" s="227"/>
      <c r="AL153" s="227"/>
      <c r="AM153" s="227"/>
    </row>
    <row r="154" spans="1:39" x14ac:dyDescent="0.2">
      <c r="A154" s="330">
        <v>2033</v>
      </c>
      <c r="B154" s="344">
        <v>0</v>
      </c>
      <c r="C154" s="345">
        <v>3.381272792475169E-4</v>
      </c>
      <c r="D154" s="345">
        <v>0.12244755511675343</v>
      </c>
      <c r="E154" s="345">
        <v>0.29191205865961567</v>
      </c>
      <c r="F154" s="345">
        <v>0.37603554565325154</v>
      </c>
      <c r="G154" s="345">
        <v>0.42431262631220412</v>
      </c>
      <c r="H154" s="345">
        <v>0.44447912996999733</v>
      </c>
      <c r="I154" s="345">
        <v>0.46127796146927968</v>
      </c>
      <c r="J154" s="345">
        <v>0.47409385654850034</v>
      </c>
      <c r="K154" s="345">
        <v>0.47890959878244183</v>
      </c>
      <c r="L154" s="380">
        <v>0.48585805819847255</v>
      </c>
      <c r="M154" s="296">
        <f t="shared" si="94"/>
        <v>9.599126059023412E-2</v>
      </c>
      <c r="N154" s="298">
        <f t="shared" si="95"/>
        <v>8.9632813555063431E-2</v>
      </c>
      <c r="O154" s="344">
        <v>0</v>
      </c>
      <c r="P154" s="345">
        <v>1.0088231365461481E-3</v>
      </c>
      <c r="Q154" s="345">
        <v>0.16846478525660361</v>
      </c>
      <c r="R154" s="345">
        <v>0.30474716015921072</v>
      </c>
      <c r="S154" s="345">
        <v>0.38726689273893522</v>
      </c>
      <c r="T154" s="345">
        <v>0.43348381125896435</v>
      </c>
      <c r="U154" s="345">
        <v>0.45236127083398292</v>
      </c>
      <c r="V154" s="345">
        <v>0.46770985517433172</v>
      </c>
      <c r="W154" s="345">
        <v>0.47409385654850034</v>
      </c>
      <c r="X154" s="345">
        <v>0.47890959878244183</v>
      </c>
      <c r="Y154" s="380">
        <v>0.48585805819847255</v>
      </c>
      <c r="Z154" s="296">
        <f t="shared" si="96"/>
        <v>0.33194735322480451</v>
      </c>
      <c r="AA154" s="298">
        <f t="shared" si="97"/>
        <v>0.30526599476196481</v>
      </c>
      <c r="AB154" s="948">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49">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6">
        <f>AB154*AH154+AC154*AI154</f>
        <v>0</v>
      </c>
      <c r="AE154" s="937">
        <f t="shared" si="104"/>
        <v>9.599126059023412E-2</v>
      </c>
      <c r="AF154" s="937">
        <f t="shared" si="105"/>
        <v>0.33194735322480451</v>
      </c>
      <c r="AG154" s="937">
        <f t="shared" si="106"/>
        <v>0.42793861381503862</v>
      </c>
      <c r="AH154" s="1172">
        <f t="shared" si="102"/>
        <v>0.22431081816730603</v>
      </c>
      <c r="AI154" s="937">
        <f t="shared" si="103"/>
        <v>0.77568918183269397</v>
      </c>
      <c r="AJ154" s="227"/>
      <c r="AK154" s="227"/>
      <c r="AL154" s="227"/>
      <c r="AM154" s="227"/>
    </row>
    <row r="155" spans="1:39" x14ac:dyDescent="0.2">
      <c r="A155" s="330">
        <v>2034</v>
      </c>
      <c r="B155" s="344">
        <v>0</v>
      </c>
      <c r="C155" s="345">
        <v>4.964271224330249E-4</v>
      </c>
      <c r="D155" s="345">
        <v>0.13408437565294865</v>
      </c>
      <c r="E155" s="345">
        <v>0.29526904754202682</v>
      </c>
      <c r="F155" s="345">
        <v>0.38035951831678982</v>
      </c>
      <c r="G155" s="345">
        <v>0.42919145594097535</v>
      </c>
      <c r="H155" s="345">
        <v>0.44958971592490493</v>
      </c>
      <c r="I155" s="345">
        <v>0.46658158822342399</v>
      </c>
      <c r="J155" s="345">
        <v>0.47954473891907218</v>
      </c>
      <c r="K155" s="345">
        <v>0.48441580808080781</v>
      </c>
      <c r="L155" s="380">
        <v>0.49144409522299987</v>
      </c>
      <c r="M155" s="296">
        <f t="shared" si="94"/>
        <v>9.713760990251212E-2</v>
      </c>
      <c r="N155" s="298">
        <f t="shared" si="95"/>
        <v>9.0759140698321444E-2</v>
      </c>
      <c r="O155" s="344">
        <v>0</v>
      </c>
      <c r="P155" s="345">
        <v>1.2152229517169264E-3</v>
      </c>
      <c r="Q155" s="345">
        <v>0.18230507481212771</v>
      </c>
      <c r="R155" s="345">
        <v>0.32447075839316125</v>
      </c>
      <c r="S155" s="345">
        <v>0.3949382726570605</v>
      </c>
      <c r="T155" s="345">
        <v>0.43846801892304521</v>
      </c>
      <c r="U155" s="345">
        <v>0.45756241942381026</v>
      </c>
      <c r="V155" s="345">
        <v>0.4730873788924092</v>
      </c>
      <c r="W155" s="345">
        <v>0.47954473891907218</v>
      </c>
      <c r="X155" s="345">
        <v>0.48441580808080781</v>
      </c>
      <c r="Y155" s="380">
        <v>0.49144409522299987</v>
      </c>
      <c r="Z155" s="296">
        <f t="shared" si="96"/>
        <v>0.33676971349563845</v>
      </c>
      <c r="AA155" s="298">
        <f t="shared" si="97"/>
        <v>0.31035936094412647</v>
      </c>
      <c r="AB155" s="948">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49">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6">
        <f t="shared" ref="AD155:AD171" si="107">AB155*AH155+AC155*AI155</f>
        <v>0</v>
      </c>
      <c r="AE155" s="937">
        <f t="shared" si="104"/>
        <v>9.713760990251212E-2</v>
      </c>
      <c r="AF155" s="937">
        <f t="shared" si="105"/>
        <v>0.33676971349563845</v>
      </c>
      <c r="AG155" s="937">
        <f t="shared" si="106"/>
        <v>0.43390732339815058</v>
      </c>
      <c r="AH155" s="1172">
        <f t="shared" si="102"/>
        <v>0.22386718237843448</v>
      </c>
      <c r="AI155" s="937">
        <f t="shared" si="103"/>
        <v>0.7761328176215655</v>
      </c>
      <c r="AJ155" s="227"/>
      <c r="AK155" s="227"/>
      <c r="AL155" s="227"/>
      <c r="AM155" s="227"/>
    </row>
    <row r="156" spans="1:39" ht="13.5" thickBot="1" x14ac:dyDescent="0.25">
      <c r="A156" s="328">
        <v>2035</v>
      </c>
      <c r="B156" s="346">
        <v>0</v>
      </c>
      <c r="C156" s="347">
        <v>5.9869989494292831E-4</v>
      </c>
      <c r="D156" s="347">
        <v>0.14528446907995105</v>
      </c>
      <c r="E156" s="347">
        <v>0.30956092891864823</v>
      </c>
      <c r="F156" s="347">
        <v>0.38197479460775008</v>
      </c>
      <c r="G156" s="347">
        <v>0.43101390345466956</v>
      </c>
      <c r="H156" s="347">
        <v>0.45149868824497874</v>
      </c>
      <c r="I156" s="347">
        <v>0.47509599836635974</v>
      </c>
      <c r="J156" s="347">
        <v>0.48158074368901871</v>
      </c>
      <c r="K156" s="347">
        <v>0.48647246270134853</v>
      </c>
      <c r="L156" s="381">
        <v>0.49353054364792487</v>
      </c>
      <c r="M156" s="310">
        <f t="shared" si="94"/>
        <v>9.8061738330542048E-2</v>
      </c>
      <c r="N156" s="312">
        <f t="shared" si="95"/>
        <v>9.1808546525223994E-2</v>
      </c>
      <c r="O156" s="346">
        <v>0</v>
      </c>
      <c r="P156" s="347">
        <v>1.7205794726782085E-3</v>
      </c>
      <c r="Q156" s="347">
        <v>0.19523711326429039</v>
      </c>
      <c r="R156" s="347">
        <v>0.32584887131663959</v>
      </c>
      <c r="S156" s="347">
        <v>0.40765752515026926</v>
      </c>
      <c r="T156" s="347">
        <v>0.44032980171211561</v>
      </c>
      <c r="U156" s="347">
        <v>0.45950519520741467</v>
      </c>
      <c r="V156" s="347">
        <v>0.47584074732177145</v>
      </c>
      <c r="W156" s="347">
        <v>0.48158074368901871</v>
      </c>
      <c r="X156" s="347">
        <v>0.49047413544931595</v>
      </c>
      <c r="Y156" s="381">
        <v>0.49353054364792487</v>
      </c>
      <c r="Z156" s="310">
        <f t="shared" si="96"/>
        <v>0.33947992683986339</v>
      </c>
      <c r="AA156" s="312">
        <f t="shared" si="97"/>
        <v>0.313280843184362</v>
      </c>
      <c r="AB156" s="948">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49">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6">
        <f t="shared" si="107"/>
        <v>0</v>
      </c>
      <c r="AE156" s="937">
        <f t="shared" si="104"/>
        <v>9.8061738330542048E-2</v>
      </c>
      <c r="AF156" s="937">
        <f t="shared" si="105"/>
        <v>0.33947992683986339</v>
      </c>
      <c r="AG156" s="937">
        <f t="shared" si="106"/>
        <v>0.43754166517040544</v>
      </c>
      <c r="AH156" s="1172">
        <f t="shared" si="102"/>
        <v>0.22411977221038096</v>
      </c>
      <c r="AI156" s="937">
        <f t="shared" si="103"/>
        <v>0.77588022778961907</v>
      </c>
      <c r="AJ156" s="227"/>
      <c r="AK156" s="227"/>
      <c r="AL156" s="227"/>
      <c r="AM156" s="227"/>
    </row>
    <row r="157" spans="1:39" x14ac:dyDescent="0.2">
      <c r="A157" s="329">
        <v>2036</v>
      </c>
      <c r="B157" s="342">
        <v>0</v>
      </c>
      <c r="C157" s="343">
        <v>1.7205442478092992E-3</v>
      </c>
      <c r="D157" s="343">
        <v>0.16959711724886389</v>
      </c>
      <c r="E157" s="343">
        <v>0.32630307739317138</v>
      </c>
      <c r="F157" s="343">
        <v>0.40480963490598143</v>
      </c>
      <c r="G157" s="343">
        <v>0.44094701108532824</v>
      </c>
      <c r="H157" s="343">
        <v>0.46014985020136973</v>
      </c>
      <c r="I157" s="343">
        <v>0.47576302759633649</v>
      </c>
      <c r="J157" s="343">
        <v>0.4871558887332173</v>
      </c>
      <c r="K157" s="343">
        <v>0.49116335769407804</v>
      </c>
      <c r="L157" s="379">
        <v>0.4962545170168553</v>
      </c>
      <c r="M157" s="282">
        <f t="shared" si="94"/>
        <v>0.10037204371302445</v>
      </c>
      <c r="N157" s="284">
        <f t="shared" si="95"/>
        <v>9.4518444714512068E-2</v>
      </c>
      <c r="O157" s="342">
        <v>0</v>
      </c>
      <c r="P157" s="343">
        <v>3.9039213727432584E-3</v>
      </c>
      <c r="Q157" s="343">
        <v>0.22290990462231924</v>
      </c>
      <c r="R157" s="343">
        <v>0.33903288874022469</v>
      </c>
      <c r="S157" s="343">
        <v>0.41869709651214443</v>
      </c>
      <c r="T157" s="343">
        <v>0.45213178571308144</v>
      </c>
      <c r="U157" s="343">
        <v>0.46922020948016052</v>
      </c>
      <c r="V157" s="343">
        <v>0.48225708818892704</v>
      </c>
      <c r="W157" s="343">
        <v>0.4871558887332173</v>
      </c>
      <c r="X157" s="343">
        <v>0.49116335769407804</v>
      </c>
      <c r="Y157" s="379">
        <v>0.49422419485665586</v>
      </c>
      <c r="Z157" s="282">
        <f t="shared" si="96"/>
        <v>0.34652074981985592</v>
      </c>
      <c r="AA157" s="284">
        <f t="shared" si="97"/>
        <v>0.32082239169315296</v>
      </c>
      <c r="AB157" s="948">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49">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6">
        <f t="shared" si="107"/>
        <v>0</v>
      </c>
      <c r="AE157" s="937">
        <f t="shared" si="104"/>
        <v>0.10037204371302445</v>
      </c>
      <c r="AF157" s="937">
        <f t="shared" si="105"/>
        <v>0.34652074981985592</v>
      </c>
      <c r="AG157" s="937">
        <f t="shared" si="106"/>
        <v>0.44689279353288036</v>
      </c>
      <c r="AH157" s="1172">
        <f t="shared" si="102"/>
        <v>0.2245998261004393</v>
      </c>
      <c r="AI157" s="937">
        <f t="shared" si="103"/>
        <v>0.77540017389956073</v>
      </c>
      <c r="AJ157" s="227"/>
      <c r="AK157" s="227"/>
      <c r="AL157" s="227"/>
      <c r="AM157" s="227"/>
    </row>
    <row r="158" spans="1:39" x14ac:dyDescent="0.2">
      <c r="A158" s="330">
        <v>2037</v>
      </c>
      <c r="B158" s="344">
        <v>0</v>
      </c>
      <c r="C158" s="345">
        <v>2.8291062207558516E-3</v>
      </c>
      <c r="D158" s="345">
        <v>0.18139729267856791</v>
      </c>
      <c r="E158" s="345">
        <v>0.33919236779076251</v>
      </c>
      <c r="F158" s="345">
        <v>0.40500113083353811</v>
      </c>
      <c r="G158" s="345">
        <v>0.44980251348024336</v>
      </c>
      <c r="H158" s="345">
        <v>0.46764126465552236</v>
      </c>
      <c r="I158" s="345">
        <v>0.48172233996796421</v>
      </c>
      <c r="J158" s="345">
        <v>0.48738778429975327</v>
      </c>
      <c r="K158" s="345">
        <v>0.4913972623436399</v>
      </c>
      <c r="L158" s="380">
        <v>0.49649097642857276</v>
      </c>
      <c r="M158" s="296">
        <f t="shared" si="94"/>
        <v>0.10169754597004339</v>
      </c>
      <c r="N158" s="298">
        <f t="shared" si="95"/>
        <v>9.5958242838025495E-2</v>
      </c>
      <c r="O158" s="344">
        <v>0</v>
      </c>
      <c r="P158" s="345">
        <v>6.211384309634708E-3</v>
      </c>
      <c r="Q158" s="345">
        <v>0.23576758775872719</v>
      </c>
      <c r="R158" s="345">
        <v>0.35155217449404447</v>
      </c>
      <c r="S158" s="345">
        <v>0.41889529340660991</v>
      </c>
      <c r="T158" s="345">
        <v>0.46036837516368528</v>
      </c>
      <c r="U158" s="345">
        <v>0.46944317081491821</v>
      </c>
      <c r="V158" s="345">
        <v>0.48248653006585962</v>
      </c>
      <c r="W158" s="345">
        <v>0.48738778429975327</v>
      </c>
      <c r="X158" s="345">
        <v>0.4913972623436399</v>
      </c>
      <c r="Y158" s="380">
        <v>0.49649097642857276</v>
      </c>
      <c r="Z158" s="296">
        <f t="shared" si="96"/>
        <v>0.34886411015973012</v>
      </c>
      <c r="AA158" s="298">
        <f t="shared" si="97"/>
        <v>0.32361537622379366</v>
      </c>
      <c r="AB158" s="948">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49">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6">
        <f t="shared" si="107"/>
        <v>0</v>
      </c>
      <c r="AE158" s="937">
        <f t="shared" si="104"/>
        <v>0.10169754597004339</v>
      </c>
      <c r="AF158" s="937">
        <f t="shared" si="105"/>
        <v>0.34886411015973012</v>
      </c>
      <c r="AG158" s="937">
        <f t="shared" si="106"/>
        <v>0.4505616561297735</v>
      </c>
      <c r="AH158" s="1172">
        <f t="shared" si="102"/>
        <v>0.22571282883590932</v>
      </c>
      <c r="AI158" s="937">
        <f t="shared" si="103"/>
        <v>0.77428717116409074</v>
      </c>
      <c r="AJ158" s="227"/>
      <c r="AK158" s="227"/>
      <c r="AL158" s="227"/>
      <c r="AM158" s="227"/>
    </row>
    <row r="159" spans="1:39" x14ac:dyDescent="0.2">
      <c r="A159" s="330">
        <v>2038</v>
      </c>
      <c r="B159" s="344">
        <v>0</v>
      </c>
      <c r="C159" s="345">
        <v>5.3168596713769533E-3</v>
      </c>
      <c r="D159" s="345">
        <v>0.20534037388912293</v>
      </c>
      <c r="E159" s="345">
        <v>0.36350612627040257</v>
      </c>
      <c r="F159" s="345">
        <v>0.41531920540853995</v>
      </c>
      <c r="G159" s="345">
        <v>0.45775754689717302</v>
      </c>
      <c r="H159" s="345">
        <v>0.46766566608274818</v>
      </c>
      <c r="I159" s="345">
        <v>0.48174785296997102</v>
      </c>
      <c r="J159" s="345">
        <v>0.49142358996051028</v>
      </c>
      <c r="K159" s="345">
        <v>0.49448624188067875</v>
      </c>
      <c r="L159" s="380">
        <v>0.49651776912956036</v>
      </c>
      <c r="M159" s="296">
        <f t="shared" si="94"/>
        <v>0.1029186228374032</v>
      </c>
      <c r="N159" s="298">
        <f t="shared" si="95"/>
        <v>9.7658338269705533E-2</v>
      </c>
      <c r="O159" s="344">
        <v>0</v>
      </c>
      <c r="P159" s="345">
        <v>1.1098024024072284E-2</v>
      </c>
      <c r="Q159" s="345">
        <v>0.26117697864830969</v>
      </c>
      <c r="R159" s="345">
        <v>0.37497826902698655</v>
      </c>
      <c r="S159" s="345">
        <v>0.42876908064761782</v>
      </c>
      <c r="T159" s="345">
        <v>0.46039213974198528</v>
      </c>
      <c r="U159" s="345">
        <v>0.4760142601940604</v>
      </c>
      <c r="V159" s="345">
        <v>0.48741374860289427</v>
      </c>
      <c r="W159" s="345">
        <v>0.49142358996051028</v>
      </c>
      <c r="X159" s="345">
        <v>0.49448624188067875</v>
      </c>
      <c r="Y159" s="380">
        <v>0.49651776912956036</v>
      </c>
      <c r="Z159" s="296">
        <f t="shared" si="96"/>
        <v>0.35314703940145709</v>
      </c>
      <c r="AA159" s="298">
        <f t="shared" si="97"/>
        <v>0.32867551996231792</v>
      </c>
      <c r="AB159" s="948">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49">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6">
        <f t="shared" si="107"/>
        <v>0</v>
      </c>
      <c r="AE159" s="937">
        <f t="shared" si="104"/>
        <v>0.1029186228374032</v>
      </c>
      <c r="AF159" s="937">
        <f t="shared" si="105"/>
        <v>0.35314703940145709</v>
      </c>
      <c r="AG159" s="937">
        <f t="shared" si="106"/>
        <v>0.4560656622388603</v>
      </c>
      <c r="AH159" s="1172">
        <f t="shared" si="102"/>
        <v>0.2256662392256589</v>
      </c>
      <c r="AI159" s="937">
        <f t="shared" si="103"/>
        <v>0.77433376077434102</v>
      </c>
      <c r="AJ159" s="227"/>
      <c r="AK159" s="227"/>
      <c r="AL159" s="227"/>
      <c r="AM159" s="227"/>
    </row>
    <row r="160" spans="1:39" x14ac:dyDescent="0.2">
      <c r="A160" s="330">
        <v>2039</v>
      </c>
      <c r="B160" s="344">
        <v>0</v>
      </c>
      <c r="C160" s="345">
        <v>1.2684395523397252E-2</v>
      </c>
      <c r="D160" s="345">
        <v>0.24515452548753308</v>
      </c>
      <c r="E160" s="345">
        <v>0.37491282571404316</v>
      </c>
      <c r="F160" s="345">
        <v>0.43789525410716762</v>
      </c>
      <c r="G160" s="345">
        <v>0.46758674343667522</v>
      </c>
      <c r="H160" s="345">
        <v>0.47593415563172353</v>
      </c>
      <c r="I160" s="345">
        <v>0.48733222898831452</v>
      </c>
      <c r="J160" s="345">
        <v>0.49134160655008796</v>
      </c>
      <c r="K160" s="345">
        <v>0.49440390650433752</v>
      </c>
      <c r="L160" s="380">
        <v>0.49725357589416036</v>
      </c>
      <c r="M160" s="296">
        <f t="shared" si="94"/>
        <v>0.10518789575368512</v>
      </c>
      <c r="N160" s="298">
        <f t="shared" si="95"/>
        <v>0.10038386200431115</v>
      </c>
      <c r="O160" s="344">
        <v>0</v>
      </c>
      <c r="P160" s="345">
        <v>2.1607081613704705E-2</v>
      </c>
      <c r="Q160" s="345">
        <v>0.28598661836203221</v>
      </c>
      <c r="R160" s="345">
        <v>0.39025552653869566</v>
      </c>
      <c r="S160" s="345">
        <v>0.44641484013006605</v>
      </c>
      <c r="T160" s="345">
        <v>0.46758674343667522</v>
      </c>
      <c r="U160" s="345">
        <v>0.48166707444302509</v>
      </c>
      <c r="V160" s="345">
        <v>0.48733222898831452</v>
      </c>
      <c r="W160" s="345">
        <v>0.49134160655008796</v>
      </c>
      <c r="X160" s="345">
        <v>0.49440390650433752</v>
      </c>
      <c r="Y160" s="380">
        <v>0.49725357589416036</v>
      </c>
      <c r="Z160" s="296">
        <f t="shared" si="96"/>
        <v>0.35821203794997475</v>
      </c>
      <c r="AA160" s="298">
        <f t="shared" si="97"/>
        <v>0.33481961640286367</v>
      </c>
      <c r="AB160" s="948">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49">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6">
        <f t="shared" si="107"/>
        <v>0</v>
      </c>
      <c r="AE160" s="937">
        <f t="shared" si="104"/>
        <v>0.10518789575368512</v>
      </c>
      <c r="AF160" s="937">
        <f t="shared" si="105"/>
        <v>0.35821203794997475</v>
      </c>
      <c r="AG160" s="937">
        <f t="shared" si="106"/>
        <v>0.46339993370365984</v>
      </c>
      <c r="AH160" s="1172">
        <f t="shared" si="102"/>
        <v>0.22699160725592993</v>
      </c>
      <c r="AI160" s="937">
        <f t="shared" si="103"/>
        <v>0.77300839274407018</v>
      </c>
      <c r="AJ160" s="227"/>
      <c r="AK160" s="227"/>
      <c r="AL160" s="227"/>
      <c r="AM160" s="227"/>
    </row>
    <row r="161" spans="1:48" ht="13.5" thickBot="1" x14ac:dyDescent="0.25">
      <c r="A161" s="328">
        <v>2040</v>
      </c>
      <c r="B161" s="346">
        <v>0</v>
      </c>
      <c r="C161" s="347">
        <v>2.4252967050798029E-2</v>
      </c>
      <c r="D161" s="347">
        <v>0.26954339200354244</v>
      </c>
      <c r="E161" s="347">
        <v>0.39617127318636552</v>
      </c>
      <c r="F161" s="347">
        <v>0.44626385056133572</v>
      </c>
      <c r="G161" s="347">
        <v>0.47392271932665175</v>
      </c>
      <c r="H161" s="347">
        <v>0.48150534463600519</v>
      </c>
      <c r="I161" s="347">
        <v>0.49117714970403475</v>
      </c>
      <c r="J161" s="347">
        <v>0.49423862319369766</v>
      </c>
      <c r="K161" s="347">
        <v>0.49626937120543341</v>
      </c>
      <c r="L161" s="381">
        <v>0.49708752571358084</v>
      </c>
      <c r="M161" s="310">
        <f t="shared" si="94"/>
        <v>0.10677482752546816</v>
      </c>
      <c r="N161" s="312">
        <f t="shared" si="95"/>
        <v>0.10237205718549854</v>
      </c>
      <c r="O161" s="346">
        <v>0</v>
      </c>
      <c r="P161" s="347">
        <v>3.9051473654977548E-2</v>
      </c>
      <c r="Q161" s="347">
        <v>0.31449792459123022</v>
      </c>
      <c r="R161" s="347">
        <v>0.41087456432568176</v>
      </c>
      <c r="S161" s="347">
        <v>0.45407454208554809</v>
      </c>
      <c r="T161" s="347">
        <v>0.47392271932665175</v>
      </c>
      <c r="U161" s="347">
        <v>0.48638955018834473</v>
      </c>
      <c r="V161" s="347">
        <v>0.49117714970403475</v>
      </c>
      <c r="W161" s="347">
        <v>0.49423862319369766</v>
      </c>
      <c r="X161" s="347">
        <v>0.49626937120543341</v>
      </c>
      <c r="Y161" s="381">
        <v>0.49708752571358084</v>
      </c>
      <c r="Z161" s="310">
        <f t="shared" si="96"/>
        <v>0.36283506053781051</v>
      </c>
      <c r="AA161" s="312">
        <f t="shared" si="97"/>
        <v>0.34051197654150228</v>
      </c>
      <c r="AB161" s="948">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49">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6">
        <f t="shared" si="107"/>
        <v>0</v>
      </c>
      <c r="AE161" s="937">
        <f t="shared" si="104"/>
        <v>0.10677482752546816</v>
      </c>
      <c r="AF161" s="937">
        <f t="shared" si="105"/>
        <v>0.36283506053781051</v>
      </c>
      <c r="AG161" s="937">
        <f t="shared" si="106"/>
        <v>0.46960988806327864</v>
      </c>
      <c r="AH161" s="1172">
        <f t="shared" si="102"/>
        <v>0.22736920631253946</v>
      </c>
      <c r="AI161" s="937">
        <f t="shared" si="103"/>
        <v>0.77263079368746057</v>
      </c>
      <c r="AJ161" s="227"/>
      <c r="AK161" s="227"/>
      <c r="AL161" s="227"/>
      <c r="AM161" s="227"/>
    </row>
    <row r="162" spans="1:48" x14ac:dyDescent="0.2">
      <c r="A162" s="329">
        <v>2041</v>
      </c>
      <c r="B162" s="342">
        <v>0</v>
      </c>
      <c r="C162" s="343">
        <v>4.7531713798350743E-2</v>
      </c>
      <c r="D162" s="343">
        <v>0.30447046822333657</v>
      </c>
      <c r="E162" s="343">
        <v>0.42014391268922974</v>
      </c>
      <c r="F162" s="343">
        <v>0.45384782581716021</v>
      </c>
      <c r="G162" s="343">
        <v>0.47937067898136654</v>
      </c>
      <c r="H162" s="343">
        <v>0.4861477628400413</v>
      </c>
      <c r="I162" s="343">
        <v>0.49093320350258601</v>
      </c>
      <c r="J162" s="343">
        <v>0.4960232524499511</v>
      </c>
      <c r="K162" s="343">
        <v>0.4960232524499511</v>
      </c>
      <c r="L162" s="379">
        <v>0.49684105858153205</v>
      </c>
      <c r="M162" s="282">
        <f t="shared" si="94"/>
        <v>0.10819042757773209</v>
      </c>
      <c r="N162" s="284">
        <f t="shared" si="95"/>
        <v>0.1043579214073988</v>
      </c>
      <c r="O162" s="342">
        <v>0</v>
      </c>
      <c r="P162" s="343">
        <v>6.5143110419953174E-2</v>
      </c>
      <c r="Q162" s="343">
        <v>0.33756712390254934</v>
      </c>
      <c r="R162" s="343">
        <v>0.42014391268922974</v>
      </c>
      <c r="S162" s="343">
        <v>0.46448076309608288</v>
      </c>
      <c r="T162" s="343">
        <v>0.47937067898136654</v>
      </c>
      <c r="U162" s="343">
        <v>0.49014147960534127</v>
      </c>
      <c r="V162" s="343">
        <v>0.49399336996281978</v>
      </c>
      <c r="W162" s="343">
        <v>0.4960232524499511</v>
      </c>
      <c r="X162" s="343">
        <v>0.49684105858153205</v>
      </c>
      <c r="Y162" s="379">
        <v>0.49684105858153205</v>
      </c>
      <c r="Z162" s="282">
        <f t="shared" si="96"/>
        <v>0.366683509116566</v>
      </c>
      <c r="AA162" s="284">
        <f t="shared" si="97"/>
        <v>0.34539686467695857</v>
      </c>
      <c r="AB162" s="948">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49">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6">
        <f t="shared" si="107"/>
        <v>0</v>
      </c>
      <c r="AE162" s="937">
        <f t="shared" si="104"/>
        <v>0.10819042757773209</v>
      </c>
      <c r="AF162" s="937">
        <f t="shared" si="105"/>
        <v>0.366683509116566</v>
      </c>
      <c r="AG162" s="937">
        <f t="shared" si="106"/>
        <v>0.47487393669429812</v>
      </c>
      <c r="AH162" s="1172">
        <f t="shared" si="102"/>
        <v>0.22782978642894036</v>
      </c>
      <c r="AI162" s="937">
        <f t="shared" si="103"/>
        <v>0.77217021357105953</v>
      </c>
      <c r="AJ162" s="227"/>
      <c r="AK162" s="227"/>
      <c r="AL162" s="227"/>
      <c r="AM162" s="227"/>
    </row>
    <row r="163" spans="1:48" x14ac:dyDescent="0.2">
      <c r="A163" s="330">
        <v>2042</v>
      </c>
      <c r="B163" s="344">
        <v>0</v>
      </c>
      <c r="C163" s="345">
        <v>7.4588958526219731E-2</v>
      </c>
      <c r="D163" s="345">
        <v>0.33189744314451741</v>
      </c>
      <c r="E163" s="345">
        <v>0.42870727689688759</v>
      </c>
      <c r="F163" s="345">
        <v>0.46062509897778214</v>
      </c>
      <c r="G163" s="345">
        <v>0.48390191815824302</v>
      </c>
      <c r="H163" s="345">
        <v>0.48982546763622997</v>
      </c>
      <c r="I163" s="345">
        <v>0.49367500947641224</v>
      </c>
      <c r="J163" s="345">
        <v>0.4957037064218649</v>
      </c>
      <c r="K163" s="345">
        <v>0.496521035201968</v>
      </c>
      <c r="L163" s="380">
        <v>0.496521035201968</v>
      </c>
      <c r="M163" s="296">
        <f t="shared" si="94"/>
        <v>0.10922665912150378</v>
      </c>
      <c r="N163" s="298">
        <f t="shared" si="95"/>
        <v>0.1057504874536422</v>
      </c>
      <c r="O163" s="344">
        <v>0</v>
      </c>
      <c r="P163" s="345">
        <v>9.7950426225384329E-2</v>
      </c>
      <c r="Q163" s="345">
        <v>0.35888587816815959</v>
      </c>
      <c r="R163" s="345">
        <v>0.43688366792375155</v>
      </c>
      <c r="S163" s="345">
        <v>0.47059167895899556</v>
      </c>
      <c r="T163" s="345">
        <v>0.48390191815824302</v>
      </c>
      <c r="U163" s="345">
        <v>0.48982546763622997</v>
      </c>
      <c r="V163" s="345">
        <v>0.4957037064218649</v>
      </c>
      <c r="W163" s="345">
        <v>0.4957037064218649</v>
      </c>
      <c r="X163" s="345">
        <v>0.49647237981002851</v>
      </c>
      <c r="Y163" s="380">
        <v>0.49572837683743315</v>
      </c>
      <c r="Z163" s="296">
        <f t="shared" si="96"/>
        <v>0.36908597511049235</v>
      </c>
      <c r="AA163" s="298">
        <f t="shared" si="97"/>
        <v>0.34918450513183041</v>
      </c>
      <c r="AB163" s="948">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49">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6">
        <f t="shared" si="107"/>
        <v>0</v>
      </c>
      <c r="AE163" s="937">
        <f t="shared" si="104"/>
        <v>0.10922665912150378</v>
      </c>
      <c r="AF163" s="937">
        <f t="shared" si="105"/>
        <v>0.36908597511049235</v>
      </c>
      <c r="AG163" s="937">
        <f t="shared" si="106"/>
        <v>0.4783126342319961</v>
      </c>
      <c r="AH163" s="1172">
        <f t="shared" si="102"/>
        <v>0.22835829811789071</v>
      </c>
      <c r="AI163" s="937">
        <f t="shared" si="103"/>
        <v>0.77164170188210934</v>
      </c>
      <c r="AJ163" s="227"/>
      <c r="AK163" s="227"/>
      <c r="AL163" s="227"/>
      <c r="AM163" s="227"/>
    </row>
    <row r="164" spans="1:48" x14ac:dyDescent="0.2">
      <c r="A164" s="330">
        <v>2043</v>
      </c>
      <c r="B164" s="344">
        <v>0</v>
      </c>
      <c r="C164" s="345">
        <v>9.5620015251584423E-2</v>
      </c>
      <c r="D164" s="345">
        <v>0.35246311247987089</v>
      </c>
      <c r="E164" s="345">
        <v>0.43655967754136621</v>
      </c>
      <c r="F164" s="345">
        <v>0.46659200877412127</v>
      </c>
      <c r="G164" s="345">
        <v>0.4835435972644751</v>
      </c>
      <c r="H164" s="345">
        <v>0.49250917758556489</v>
      </c>
      <c r="I164" s="345">
        <v>0.49524309909868636</v>
      </c>
      <c r="J164" s="345">
        <v>0.49528346721101402</v>
      </c>
      <c r="K164" s="345">
        <v>0.49328068652068535</v>
      </c>
      <c r="L164" s="380">
        <v>0.47799432130407055</v>
      </c>
      <c r="M164" s="296">
        <f t="shared" si="94"/>
        <v>0.1096233967729657</v>
      </c>
      <c r="N164" s="298">
        <f t="shared" si="95"/>
        <v>0.10660592189329735</v>
      </c>
      <c r="O164" s="344">
        <v>0</v>
      </c>
      <c r="P164" s="345">
        <v>0.12270944284319324</v>
      </c>
      <c r="Q164" s="345">
        <v>0.38449322663161367</v>
      </c>
      <c r="R164" s="345">
        <v>0.44900202203857065</v>
      </c>
      <c r="S164" s="345">
        <v>0.47585264866436744</v>
      </c>
      <c r="T164" s="345">
        <v>0.48939827352373955</v>
      </c>
      <c r="U164" s="345">
        <v>0.49197247566150692</v>
      </c>
      <c r="V164" s="345">
        <v>0.4920342266954022</v>
      </c>
      <c r="W164" s="345">
        <v>0.48688131106182331</v>
      </c>
      <c r="X164" s="345">
        <v>0.47799432130407055</v>
      </c>
      <c r="Y164" s="380">
        <v>0.45774058550335239</v>
      </c>
      <c r="Z164" s="296">
        <f t="shared" si="96"/>
        <v>0.3687448196932428</v>
      </c>
      <c r="AA164" s="298">
        <f t="shared" si="97"/>
        <v>0.351336340640236</v>
      </c>
      <c r="AB164" s="948">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49">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6">
        <f t="shared" si="107"/>
        <v>0</v>
      </c>
      <c r="AE164" s="937">
        <f t="shared" si="104"/>
        <v>0.1096233967729657</v>
      </c>
      <c r="AF164" s="937">
        <f t="shared" si="105"/>
        <v>0.3687448196932428</v>
      </c>
      <c r="AG164" s="937">
        <f t="shared" si="106"/>
        <v>0.47836821646620853</v>
      </c>
      <c r="AH164" s="1172">
        <f t="shared" si="102"/>
        <v>0.22916112107692546</v>
      </c>
      <c r="AI164" s="937">
        <f t="shared" si="103"/>
        <v>0.77083887892307446</v>
      </c>
      <c r="AJ164" s="227"/>
      <c r="AK164" s="227"/>
      <c r="AL164" s="227"/>
      <c r="AM164" s="227"/>
    </row>
    <row r="165" spans="1:48" x14ac:dyDescent="0.2">
      <c r="A165" s="330">
        <v>2044</v>
      </c>
      <c r="B165" s="344">
        <v>0</v>
      </c>
      <c r="C165" s="345">
        <v>0.11610398863709585</v>
      </c>
      <c r="D165" s="345">
        <v>0.3618923024004711</v>
      </c>
      <c r="E165" s="345">
        <v>0.44371545901500448</v>
      </c>
      <c r="F165" s="345">
        <v>0.47167783825759568</v>
      </c>
      <c r="G165" s="345">
        <v>0.48564304017361459</v>
      </c>
      <c r="H165" s="345">
        <v>0.48606204185743745</v>
      </c>
      <c r="I165" s="345">
        <v>0.47738067028571091</v>
      </c>
      <c r="J165" s="345">
        <v>0.46398709669079052</v>
      </c>
      <c r="K165" s="345">
        <v>0.44748885096954227</v>
      </c>
      <c r="L165" s="380">
        <v>0.41434015152600889</v>
      </c>
      <c r="M165" s="296">
        <f t="shared" si="94"/>
        <v>0.107326756576096</v>
      </c>
      <c r="N165" s="298">
        <f t="shared" si="95"/>
        <v>0.10551442688296112</v>
      </c>
      <c r="O165" s="344">
        <v>0</v>
      </c>
      <c r="P165" s="345">
        <v>0.13806094784646017</v>
      </c>
      <c r="Q165" s="345">
        <v>0.3934932372124087</v>
      </c>
      <c r="R165" s="345">
        <v>0.45559563200322739</v>
      </c>
      <c r="S165" s="345">
        <v>0.47853777855826385</v>
      </c>
      <c r="T165" s="345">
        <v>0.47910936912913588</v>
      </c>
      <c r="U165" s="345">
        <v>0.47049323600151433</v>
      </c>
      <c r="V165" s="345">
        <v>0.4537698216611582</v>
      </c>
      <c r="W165" s="345">
        <v>0.439812584356706</v>
      </c>
      <c r="X165" s="345">
        <v>0.42310491474929723</v>
      </c>
      <c r="Y165" s="380">
        <v>0.40113339088084704</v>
      </c>
      <c r="Z165" s="296">
        <f t="shared" si="96"/>
        <v>0.35258461056411006</v>
      </c>
      <c r="AA165" s="298">
        <f t="shared" si="97"/>
        <v>0.33973341518961403</v>
      </c>
      <c r="AB165" s="948">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49">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6">
        <f t="shared" si="107"/>
        <v>0</v>
      </c>
      <c r="AE165" s="937">
        <f t="shared" si="104"/>
        <v>0.107326756576096</v>
      </c>
      <c r="AF165" s="937">
        <f t="shared" si="105"/>
        <v>0.35258461056411006</v>
      </c>
      <c r="AG165" s="937">
        <f t="shared" si="106"/>
        <v>0.45991136714020608</v>
      </c>
      <c r="AH165" s="1172">
        <f t="shared" si="102"/>
        <v>0.23336400064096904</v>
      </c>
      <c r="AI165" s="937">
        <f t="shared" si="103"/>
        <v>0.76663599935903093</v>
      </c>
      <c r="AJ165" s="227"/>
      <c r="AK165" s="227"/>
      <c r="AL165" s="227"/>
      <c r="AM165" s="227"/>
    </row>
    <row r="166" spans="1:48" ht="13.5" thickBot="1" x14ac:dyDescent="0.25">
      <c r="A166" s="328">
        <v>2045</v>
      </c>
      <c r="B166" s="346">
        <v>0</v>
      </c>
      <c r="C166" s="347">
        <v>0.12977239540691349</v>
      </c>
      <c r="D166" s="347">
        <v>0.37083222766335933</v>
      </c>
      <c r="E166" s="347">
        <v>0.44920055534580805</v>
      </c>
      <c r="F166" s="347">
        <v>0.46581667529997178</v>
      </c>
      <c r="G166" s="347">
        <v>0.45850148696185866</v>
      </c>
      <c r="H166" s="347">
        <v>0.44274820430767781</v>
      </c>
      <c r="I166" s="347">
        <v>0.42736909421630137</v>
      </c>
      <c r="J166" s="347">
        <v>0.41018575604843144</v>
      </c>
      <c r="K166" s="347">
        <v>0.39650899193477446</v>
      </c>
      <c r="L166" s="381">
        <v>0.37519039506893931</v>
      </c>
      <c r="M166" s="310">
        <f t="shared" si="94"/>
        <v>0.10004153702034478</v>
      </c>
      <c r="N166" s="312">
        <f t="shared" si="95"/>
        <v>9.9679543751970912E-2</v>
      </c>
      <c r="O166" s="346">
        <v>0</v>
      </c>
      <c r="P166" s="347">
        <v>0.15326396667660214</v>
      </c>
      <c r="Q166" s="347">
        <v>0.40183128515409905</v>
      </c>
      <c r="R166" s="347">
        <v>0.45036278535645197</v>
      </c>
      <c r="S166" s="347">
        <v>0.45456548768314781</v>
      </c>
      <c r="T166" s="347">
        <v>0.43926723668982387</v>
      </c>
      <c r="U166" s="347">
        <v>0.41755917896332956</v>
      </c>
      <c r="V166" s="347">
        <v>0.40560781812327373</v>
      </c>
      <c r="W166" s="347">
        <v>0.39203486392348047</v>
      </c>
      <c r="X166" s="347">
        <v>0.37919693941075383</v>
      </c>
      <c r="Y166" s="381">
        <v>0.36772322691182485</v>
      </c>
      <c r="Z166" s="310">
        <f t="shared" si="96"/>
        <v>0.3215020538157678</v>
      </c>
      <c r="AA166" s="312">
        <f t="shared" si="97"/>
        <v>0.3125833118875862</v>
      </c>
      <c r="AB166" s="948">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49">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6">
        <f t="shared" si="107"/>
        <v>0</v>
      </c>
      <c r="AE166" s="937">
        <f t="shared" si="104"/>
        <v>0.10004153702034478</v>
      </c>
      <c r="AF166" s="937">
        <f t="shared" si="105"/>
        <v>0.3215020538157678</v>
      </c>
      <c r="AG166" s="937">
        <f t="shared" si="106"/>
        <v>0.42154359083611259</v>
      </c>
      <c r="AH166" s="1172">
        <f t="shared" si="102"/>
        <v>0.23732192635622079</v>
      </c>
      <c r="AI166" s="937">
        <f t="shared" si="103"/>
        <v>0.76267807364377915</v>
      </c>
      <c r="AJ166" s="227"/>
      <c r="AK166" s="227"/>
      <c r="AL166" s="227"/>
      <c r="AM166" s="227"/>
    </row>
    <row r="167" spans="1:48" x14ac:dyDescent="0.2">
      <c r="A167" s="329">
        <v>2046</v>
      </c>
      <c r="B167" s="342">
        <v>0</v>
      </c>
      <c r="C167" s="343">
        <v>0.13647663725838752</v>
      </c>
      <c r="D167" s="343">
        <v>0.37040897130064715</v>
      </c>
      <c r="E167" s="343">
        <v>0.43880993790372003</v>
      </c>
      <c r="F167" s="343">
        <v>0.43871188442905107</v>
      </c>
      <c r="G167" s="343">
        <v>0.4111038986312302</v>
      </c>
      <c r="H167" s="343">
        <v>0.39089256736644168</v>
      </c>
      <c r="I167" s="343">
        <v>0.39331398141113438</v>
      </c>
      <c r="J167" s="343">
        <v>0.37988580920532805</v>
      </c>
      <c r="K167" s="343">
        <v>0.36766193527394531</v>
      </c>
      <c r="L167" s="379">
        <v>0.35725804111931103</v>
      </c>
      <c r="M167" s="282">
        <f t="shared" si="94"/>
        <v>9.1725366145356452E-2</v>
      </c>
      <c r="N167" s="284">
        <f t="shared" si="95"/>
        <v>9.1977487064900068E-2</v>
      </c>
      <c r="O167" s="342">
        <v>0</v>
      </c>
      <c r="P167" s="343">
        <v>0.1606780923707356</v>
      </c>
      <c r="Q167" s="343">
        <v>0.39878730773754634</v>
      </c>
      <c r="R167" s="343">
        <v>0.43685271439655093</v>
      </c>
      <c r="S167" s="343">
        <v>0.41309239286573229</v>
      </c>
      <c r="T167" s="343">
        <v>0.38812168077462539</v>
      </c>
      <c r="U167" s="343">
        <v>0.36917948129892159</v>
      </c>
      <c r="V167" s="343">
        <v>0.37988580920532805</v>
      </c>
      <c r="W167" s="343">
        <v>0.36766193527394531</v>
      </c>
      <c r="X167" s="343">
        <v>0.36048726378686852</v>
      </c>
      <c r="Y167" s="379">
        <v>0.35429598724258143</v>
      </c>
      <c r="Z167" s="282">
        <f t="shared" si="96"/>
        <v>0.29224164257139518</v>
      </c>
      <c r="AA167" s="284">
        <f t="shared" si="97"/>
        <v>0.28470729477819923</v>
      </c>
      <c r="AB167" s="948">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49">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6">
        <f t="shared" si="107"/>
        <v>0</v>
      </c>
      <c r="AE167" s="937">
        <f t="shared" si="104"/>
        <v>9.1725366145356452E-2</v>
      </c>
      <c r="AF167" s="937">
        <f t="shared" si="105"/>
        <v>0.29224164257139518</v>
      </c>
      <c r="AG167" s="937">
        <f t="shared" si="106"/>
        <v>0.3839670087167516</v>
      </c>
      <c r="AH167" s="1172">
        <f t="shared" si="102"/>
        <v>0.23888866507544476</v>
      </c>
      <c r="AI167" s="937">
        <f t="shared" si="103"/>
        <v>0.76111133492455529</v>
      </c>
      <c r="AJ167" s="227"/>
      <c r="AK167" s="227"/>
      <c r="AL167" s="227"/>
      <c r="AM167" s="227"/>
    </row>
    <row r="168" spans="1:48" x14ac:dyDescent="0.2">
      <c r="A168" s="330">
        <v>2047</v>
      </c>
      <c r="B168" s="344">
        <v>0</v>
      </c>
      <c r="C168" s="345">
        <v>0.13642455467397213</v>
      </c>
      <c r="D168" s="345">
        <v>0.37509863965531293</v>
      </c>
      <c r="E168" s="345">
        <v>0.41037914192095643</v>
      </c>
      <c r="F168" s="345">
        <v>0.39296344261065752</v>
      </c>
      <c r="G168" s="345">
        <v>0.36628892903189342</v>
      </c>
      <c r="H168" s="345">
        <v>0.34526582646670856</v>
      </c>
      <c r="I168" s="345">
        <v>0.36922103455568001</v>
      </c>
      <c r="J168" s="345">
        <v>0.3615356794379756</v>
      </c>
      <c r="K168" s="345">
        <v>0.35476210482922621</v>
      </c>
      <c r="L168" s="380">
        <v>0.34668610486537343</v>
      </c>
      <c r="M168" s="296">
        <f t="shared" si="94"/>
        <v>8.365029605987323E-2</v>
      </c>
      <c r="N168" s="298">
        <f t="shared" si="95"/>
        <v>8.3884243591823435E-2</v>
      </c>
      <c r="O168" s="344">
        <v>0</v>
      </c>
      <c r="P168" s="345">
        <v>0.16796304007786919</v>
      </c>
      <c r="Q168" s="345">
        <v>0.3934580363367815</v>
      </c>
      <c r="R168" s="345">
        <v>0.40065025913315605</v>
      </c>
      <c r="S168" s="345">
        <v>0.36927630343730378</v>
      </c>
      <c r="T168" s="345">
        <v>0.3457218167895571</v>
      </c>
      <c r="U168" s="345">
        <v>0.33120810317717042</v>
      </c>
      <c r="V168" s="345">
        <v>0.3615356794379756</v>
      </c>
      <c r="W168" s="345">
        <v>0.35476210482922621</v>
      </c>
      <c r="X168" s="345">
        <v>0.34907162255919338</v>
      </c>
      <c r="Y168" s="380">
        <v>0.34668610486537343</v>
      </c>
      <c r="Z168" s="296">
        <f t="shared" si="96"/>
        <v>0.26758827510375532</v>
      </c>
      <c r="AA168" s="298">
        <f t="shared" si="97"/>
        <v>0.26012706472274316</v>
      </c>
      <c r="AB168" s="948">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49">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6">
        <f t="shared" si="107"/>
        <v>0</v>
      </c>
      <c r="AE168" s="937">
        <f t="shared" si="104"/>
        <v>8.365029605987323E-2</v>
      </c>
      <c r="AF168" s="937">
        <f t="shared" si="105"/>
        <v>0.26758827510375532</v>
      </c>
      <c r="AG168" s="937">
        <f t="shared" si="106"/>
        <v>0.35123857116362855</v>
      </c>
      <c r="AH168" s="1172">
        <f t="shared" si="102"/>
        <v>0.23815805816185195</v>
      </c>
      <c r="AI168" s="937">
        <f t="shared" si="103"/>
        <v>0.76184194183814802</v>
      </c>
      <c r="AJ168" s="227"/>
      <c r="AK168" s="227"/>
      <c r="AL168" s="227"/>
      <c r="AM168" s="227"/>
    </row>
    <row r="169" spans="1:48" x14ac:dyDescent="0.2">
      <c r="A169" s="330">
        <v>2048</v>
      </c>
      <c r="B169" s="344">
        <v>1.8443134608366919E-4</v>
      </c>
      <c r="C169" s="345">
        <v>0.14304724609859579</v>
      </c>
      <c r="D169" s="345">
        <v>0.36393973965436865</v>
      </c>
      <c r="E169" s="345">
        <v>0.38047807284938473</v>
      </c>
      <c r="F169" s="345">
        <v>0.35595673005939327</v>
      </c>
      <c r="G169" s="345">
        <v>0.33518043774085887</v>
      </c>
      <c r="H169" s="345">
        <v>0.3186944066029786</v>
      </c>
      <c r="I169" s="345">
        <v>0.35648787498463147</v>
      </c>
      <c r="J169" s="345">
        <v>0.35019701704933204</v>
      </c>
      <c r="K169" s="345">
        <v>0.3474822775637626</v>
      </c>
      <c r="L169" s="380">
        <v>0.34132697913814003</v>
      </c>
      <c r="M169" s="296">
        <f t="shared" si="94"/>
        <v>7.8190931080009837E-2</v>
      </c>
      <c r="N169" s="298">
        <f t="shared" si="95"/>
        <v>7.8109706677848681E-2</v>
      </c>
      <c r="O169" s="344">
        <v>0</v>
      </c>
      <c r="P169" s="345">
        <v>0.16791915345153971</v>
      </c>
      <c r="Q169" s="345">
        <v>0.37416593778703933</v>
      </c>
      <c r="R169" s="345">
        <v>0.36703625851370242</v>
      </c>
      <c r="S169" s="345">
        <v>0.34079326371678287</v>
      </c>
      <c r="T169" s="345">
        <v>0.3193944023586574</v>
      </c>
      <c r="U169" s="345">
        <v>0.30809694533827425</v>
      </c>
      <c r="V169" s="345">
        <v>0.35320595893671408</v>
      </c>
      <c r="W169" s="345">
        <v>0.3474822775637626</v>
      </c>
      <c r="X169" s="345">
        <v>0.34508341224253358</v>
      </c>
      <c r="Y169" s="380">
        <v>0.34132697913814003</v>
      </c>
      <c r="Z169" s="296">
        <f t="shared" si="96"/>
        <v>0.25204931994417767</v>
      </c>
      <c r="AA169" s="298">
        <f t="shared" si="97"/>
        <v>0.24395487951994554</v>
      </c>
      <c r="AB169" s="948">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49">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6">
        <f t="shared" si="107"/>
        <v>0</v>
      </c>
      <c r="AE169" s="937">
        <f t="shared" si="104"/>
        <v>7.8190931080009837E-2</v>
      </c>
      <c r="AF169" s="937">
        <f t="shared" si="105"/>
        <v>0.25204931994417767</v>
      </c>
      <c r="AG169" s="937">
        <f t="shared" si="106"/>
        <v>0.33024025102418753</v>
      </c>
      <c r="AH169" s="1172">
        <f t="shared" si="102"/>
        <v>0.23676983904146487</v>
      </c>
      <c r="AI169" s="937">
        <f t="shared" si="103"/>
        <v>0.76323016095853513</v>
      </c>
      <c r="AJ169" s="227"/>
      <c r="AK169" s="227"/>
      <c r="AL169" s="227"/>
      <c r="AM169" s="227"/>
    </row>
    <row r="170" spans="1:48" x14ac:dyDescent="0.2">
      <c r="A170" s="330">
        <v>2049</v>
      </c>
      <c r="B170" s="344">
        <v>2.1373159568219562E-4</v>
      </c>
      <c r="C170" s="345">
        <v>0.1430228122550449</v>
      </c>
      <c r="D170" s="345">
        <v>0.34925466631118013</v>
      </c>
      <c r="E170" s="345">
        <v>0.35455523266537264</v>
      </c>
      <c r="F170" s="345">
        <v>0.3325394775985806</v>
      </c>
      <c r="G170" s="345">
        <v>0.31241004576227055</v>
      </c>
      <c r="H170" s="345">
        <v>0.30277633421091771</v>
      </c>
      <c r="I170" s="345">
        <v>0.35225120919972375</v>
      </c>
      <c r="J170" s="345">
        <v>0.34650755601079436</v>
      </c>
      <c r="K170" s="345">
        <v>0.34410066963398134</v>
      </c>
      <c r="L170" s="380">
        <v>0.33902573275750569</v>
      </c>
      <c r="M170" s="296">
        <f t="shared" si="94"/>
        <v>7.4736627657316854E-2</v>
      </c>
      <c r="N170" s="298">
        <f t="shared" si="95"/>
        <v>7.4257716368357762E-2</v>
      </c>
      <c r="O170" s="344">
        <v>0</v>
      </c>
      <c r="P170" s="345">
        <v>0.17471951215188536</v>
      </c>
      <c r="Q170" s="345">
        <v>0.3526769613494008</v>
      </c>
      <c r="R170" s="345">
        <v>0.34118618961602032</v>
      </c>
      <c r="S170" s="345">
        <v>0.32127478773783524</v>
      </c>
      <c r="T170" s="345">
        <v>0.30346972140388107</v>
      </c>
      <c r="U170" s="345">
        <v>0.29401359060531818</v>
      </c>
      <c r="V170" s="345">
        <v>0.34650755601079436</v>
      </c>
      <c r="W170" s="345">
        <v>0.34410066963398134</v>
      </c>
      <c r="X170" s="345">
        <v>0.34203377550702913</v>
      </c>
      <c r="Y170" s="380">
        <v>0.33902573275750569</v>
      </c>
      <c r="Z170" s="296">
        <f t="shared" si="96"/>
        <v>0.24205097893721403</v>
      </c>
      <c r="AA170" s="298">
        <f t="shared" si="97"/>
        <v>0.23341359657705996</v>
      </c>
      <c r="AB170" s="948">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49">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6">
        <f t="shared" si="107"/>
        <v>0</v>
      </c>
      <c r="AE170" s="937">
        <f t="shared" si="104"/>
        <v>7.4736627657316854E-2</v>
      </c>
      <c r="AF170" s="937">
        <f t="shared" si="105"/>
        <v>0.24205097893721403</v>
      </c>
      <c r="AG170" s="937">
        <f t="shared" si="106"/>
        <v>0.31678760659453087</v>
      </c>
      <c r="AH170" s="1172">
        <f t="shared" si="102"/>
        <v>0.2359203014939131</v>
      </c>
      <c r="AI170" s="937">
        <f t="shared" si="103"/>
        <v>0.76407969850608692</v>
      </c>
      <c r="AJ170" s="227"/>
      <c r="AK170" s="227"/>
      <c r="AL170" s="227"/>
      <c r="AM170" s="227"/>
    </row>
    <row r="171" spans="1:48" ht="13.5" thickBot="1" x14ac:dyDescent="0.25">
      <c r="A171" s="328">
        <v>2050</v>
      </c>
      <c r="B171" s="346">
        <v>2.799318546014672E-4</v>
      </c>
      <c r="C171" s="347">
        <v>0.14892894072065782</v>
      </c>
      <c r="D171" s="347">
        <v>0.32630775096077547</v>
      </c>
      <c r="E171" s="347">
        <v>0.32015190631878171</v>
      </c>
      <c r="F171" s="347">
        <v>0.30535654290694331</v>
      </c>
      <c r="G171" s="347">
        <v>0.29241571285670592</v>
      </c>
      <c r="H171" s="347">
        <v>0.28642138058220806</v>
      </c>
      <c r="I171" s="347">
        <v>0.34499717812099673</v>
      </c>
      <c r="J171" s="347">
        <v>0.34050104172964385</v>
      </c>
      <c r="K171" s="347">
        <v>0.33879114358772394</v>
      </c>
      <c r="L171" s="381">
        <v>0.33660478563703838</v>
      </c>
      <c r="M171" s="310">
        <f t="shared" si="94"/>
        <v>7.086277857789236E-2</v>
      </c>
      <c r="N171" s="312">
        <f t="shared" si="95"/>
        <v>6.9880990775247717E-2</v>
      </c>
      <c r="O171" s="346">
        <v>1.5972333204690198E-4</v>
      </c>
      <c r="P171" s="347">
        <v>0.17269098074722647</v>
      </c>
      <c r="Q171" s="347">
        <v>0.32021415365252359</v>
      </c>
      <c r="R171" s="347">
        <v>0.30979242542900687</v>
      </c>
      <c r="S171" s="347">
        <v>0.29754823533104713</v>
      </c>
      <c r="T171" s="347">
        <v>0.28476773537497241</v>
      </c>
      <c r="U171" s="347">
        <v>0.27905409918339624</v>
      </c>
      <c r="V171" s="347">
        <v>0.34050104172964385</v>
      </c>
      <c r="W171" s="347">
        <v>0.33879114358772394</v>
      </c>
      <c r="X171" s="347">
        <v>0.33747858886747084</v>
      </c>
      <c r="Y171" s="381">
        <v>0.33660478563703838</v>
      </c>
      <c r="Z171" s="310">
        <f t="shared" si="96"/>
        <v>0.23055355487094017</v>
      </c>
      <c r="AA171" s="312">
        <f t="shared" si="97"/>
        <v>0.22090129236940081</v>
      </c>
      <c r="AB171" s="950">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1">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7">
        <f t="shared" si="107"/>
        <v>0</v>
      </c>
      <c r="AE171" s="937">
        <f t="shared" si="104"/>
        <v>7.086277857789236E-2</v>
      </c>
      <c r="AF171" s="937">
        <f t="shared" si="105"/>
        <v>0.23055355487094017</v>
      </c>
      <c r="AG171" s="937">
        <f t="shared" si="106"/>
        <v>0.30141633344883256</v>
      </c>
      <c r="AH171" s="1172">
        <f t="shared" si="102"/>
        <v>0.23509933176836878</v>
      </c>
      <c r="AI171" s="937">
        <f t="shared" si="103"/>
        <v>0.76490066823163116</v>
      </c>
      <c r="AJ171" s="227"/>
      <c r="AK171" s="227"/>
      <c r="AL171" s="227"/>
      <c r="AM171" s="227"/>
    </row>
    <row r="172" spans="1:48" x14ac:dyDescent="0.2">
      <c r="B172" s="227" t="str">
        <f>B$120</f>
        <v>Output generated: 8/27/2020 18:37</v>
      </c>
      <c r="O172" s="227" t="str">
        <f>U$120</f>
        <v>Output generated: 8/27/2020 18:37</v>
      </c>
      <c r="W172" s="323"/>
      <c r="X172" s="323"/>
      <c r="Y172" s="323"/>
      <c r="AE172" s="937"/>
      <c r="AF172" s="937"/>
      <c r="AG172" s="937"/>
      <c r="AH172" s="937"/>
      <c r="AI172" s="937"/>
      <c r="AJ172" s="227"/>
      <c r="AK172" s="227"/>
      <c r="AL172" s="227"/>
      <c r="AM172" s="227"/>
    </row>
    <row r="173" spans="1:48" ht="13.5" thickBot="1" x14ac:dyDescent="0.25">
      <c r="W173" s="323"/>
      <c r="X173" s="323"/>
      <c r="Y173" s="323"/>
      <c r="AE173" s="937"/>
      <c r="AF173" s="937"/>
      <c r="AG173" s="937"/>
      <c r="AH173" s="937"/>
      <c r="AI173" s="937"/>
      <c r="AJ173" s="227"/>
      <c r="AK173" s="227"/>
      <c r="AL173" s="227"/>
      <c r="AM173" s="227"/>
    </row>
    <row r="174" spans="1:48" ht="15" x14ac:dyDescent="0.25">
      <c r="A174" s="333"/>
      <c r="B174" s="1538" t="s">
        <v>191</v>
      </c>
      <c r="C174" s="1539"/>
      <c r="D174" s="1539"/>
      <c r="E174" s="1539"/>
      <c r="F174" s="1539"/>
      <c r="G174" s="1539"/>
      <c r="H174" s="1539"/>
      <c r="I174" s="1539"/>
      <c r="J174" s="1539"/>
      <c r="K174" s="1539"/>
      <c r="L174" s="1539"/>
      <c r="M174" s="1539"/>
      <c r="N174" s="1540"/>
      <c r="O174" s="1538" t="s">
        <v>192</v>
      </c>
      <c r="P174" s="1539"/>
      <c r="Q174" s="1539"/>
      <c r="R174" s="1539"/>
      <c r="S174" s="1539"/>
      <c r="T174" s="1539"/>
      <c r="U174" s="1539"/>
      <c r="V174" s="1539"/>
      <c r="W174" s="1539"/>
      <c r="X174" s="1539"/>
      <c r="Y174" s="1539"/>
      <c r="Z174" s="1539"/>
      <c r="AA174" s="1540"/>
      <c r="AE174" s="937"/>
      <c r="AF174" s="937"/>
      <c r="AG174" s="937"/>
      <c r="AH174" s="937"/>
      <c r="AI174" s="937"/>
      <c r="AJ174" s="227"/>
      <c r="AK174" s="227"/>
      <c r="AL174" s="227"/>
      <c r="AM174" s="227"/>
    </row>
    <row r="175" spans="1:48" x14ac:dyDescent="0.2">
      <c r="A175" s="324"/>
      <c r="B175" s="1535" t="s">
        <v>121</v>
      </c>
      <c r="C175" s="1536"/>
      <c r="D175" s="1536"/>
      <c r="E175" s="1536"/>
      <c r="F175" s="1536"/>
      <c r="G175" s="1536"/>
      <c r="H175" s="1536"/>
      <c r="I175" s="1536"/>
      <c r="J175" s="1536"/>
      <c r="K175" s="1536"/>
      <c r="L175" s="1537"/>
      <c r="M175" s="382"/>
      <c r="N175" s="325"/>
      <c r="O175" s="1535" t="s">
        <v>121</v>
      </c>
      <c r="P175" s="1536"/>
      <c r="Q175" s="1536"/>
      <c r="R175" s="1536"/>
      <c r="S175" s="1536"/>
      <c r="T175" s="1536"/>
      <c r="U175" s="1536"/>
      <c r="V175" s="1536"/>
      <c r="W175" s="1536"/>
      <c r="X175" s="1536"/>
      <c r="Y175" s="1537"/>
      <c r="Z175" s="382"/>
      <c r="AA175" s="325"/>
      <c r="AE175" s="937"/>
      <c r="AF175" s="937"/>
      <c r="AG175" s="937"/>
      <c r="AH175" s="937"/>
      <c r="AI175" s="937"/>
      <c r="AJ175" s="227"/>
      <c r="AK175" s="227"/>
      <c r="AL175" s="227"/>
      <c r="AM175" s="227"/>
    </row>
    <row r="176" spans="1:48" ht="13.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3" t="s">
        <v>267</v>
      </c>
      <c r="AD176" s="234" t="b">
        <f>INDEX(TECH_OPT_FUEL2_Cls1,MATCH(RIGHT(O174),TECH_OPT_ROWS_Cls1,0))&lt;&gt;"N/A"</f>
        <v>0</v>
      </c>
      <c r="AE176" s="937"/>
      <c r="AF176" s="937"/>
      <c r="AG176" s="937"/>
      <c r="AH176" s="937"/>
      <c r="AI176" s="937"/>
      <c r="AJ176" s="227"/>
      <c r="AK176"/>
      <c r="AL176"/>
      <c r="AM176"/>
      <c r="AN176"/>
      <c r="AO176"/>
      <c r="AP176"/>
      <c r="AQ176"/>
      <c r="AR176"/>
      <c r="AS176"/>
      <c r="AT176"/>
      <c r="AU176"/>
      <c r="AV176"/>
    </row>
    <row r="177" spans="1:48" ht="14.25"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6"/>
      <c r="AC177" s="903" t="s">
        <v>268</v>
      </c>
      <c r="AD177" s="234">
        <f>MATCH(RIGHT(O174),TECH_OPT_ROWS_Cls1,0)</f>
        <v>4</v>
      </c>
      <c r="AE177" s="937"/>
      <c r="AF177" s="937"/>
      <c r="AG177" s="937"/>
      <c r="AH177" s="937"/>
      <c r="AI177" s="937"/>
      <c r="AJ177" s="227"/>
      <c r="AK177"/>
      <c r="AL177"/>
      <c r="AM177"/>
      <c r="AN177"/>
      <c r="AO177"/>
      <c r="AP177"/>
      <c r="AQ177"/>
      <c r="AR177"/>
      <c r="AS177"/>
      <c r="AT177"/>
      <c r="AU177"/>
      <c r="AV177"/>
    </row>
    <row r="178" spans="1:48" x14ac:dyDescent="0.2">
      <c r="A178" s="331" t="s">
        <v>125</v>
      </c>
      <c r="B178" s="923">
        <f t="array" ref="B178:L178">TRANSPOSE(Cls1CentVMTShr)</f>
        <v>8.9762242961142352E-4</v>
      </c>
      <c r="C178" s="924">
        <v>1.2044238150123706E-3</v>
      </c>
      <c r="D178" s="924">
        <v>4.1499109643594731E-3</v>
      </c>
      <c r="E178" s="924">
        <v>1.9575808105519295E-2</v>
      </c>
      <c r="F178" s="924">
        <v>3.4523467949689302E-2</v>
      </c>
      <c r="G178" s="924">
        <v>2.7311948935134379E-2</v>
      </c>
      <c r="H178" s="924">
        <v>7.6478458482655817E-2</v>
      </c>
      <c r="I178" s="924">
        <v>3.2480526319280681E-2</v>
      </c>
      <c r="J178" s="924">
        <v>1.1772940427842455E-2</v>
      </c>
      <c r="K178" s="924">
        <v>6.0339283082965706E-3</v>
      </c>
      <c r="L178" s="925">
        <v>1.5952440951210019E-2</v>
      </c>
      <c r="M178" s="926"/>
      <c r="N178" s="927"/>
      <c r="O178" s="928">
        <f t="array" ref="O178:Y178">TRANSPOSE(Cls1NCentVMTShr)</f>
        <v>1.3589913425833078E-3</v>
      </c>
      <c r="P178" s="929">
        <v>5.8692629772239642E-3</v>
      </c>
      <c r="Q178" s="929">
        <v>1.2100393581509007E-2</v>
      </c>
      <c r="R178" s="929">
        <v>3.6555003327388577E-2</v>
      </c>
      <c r="S178" s="929">
        <v>8.3148735051829181E-2</v>
      </c>
      <c r="T178" s="929">
        <v>0.18151138394047112</v>
      </c>
      <c r="U178" s="929">
        <v>0.2383386372324876</v>
      </c>
      <c r="V178" s="929">
        <v>9.5602564448196578E-2</v>
      </c>
      <c r="W178" s="929">
        <v>2.9193025028929166E-2</v>
      </c>
      <c r="X178" s="929">
        <v>3.5209492159336005E-2</v>
      </c>
      <c r="Y178" s="930">
        <v>5.0731034221433824E-2</v>
      </c>
      <c r="Z178" s="926"/>
      <c r="AA178" s="927"/>
      <c r="AB178" s="1551" t="str">
        <f>"% of miles on f2 for Tech "&amp; RIGHT(O174)&amp;" adopters"</f>
        <v>% of miles on f2 for Tech C adopters</v>
      </c>
      <c r="AC178" s="1552"/>
      <c r="AD178" s="1553"/>
      <c r="AE178" s="937" t="s">
        <v>303</v>
      </c>
      <c r="AF178" s="937"/>
      <c r="AG178" s="937"/>
      <c r="AH178" s="1172" t="s">
        <v>309</v>
      </c>
      <c r="AI178" s="937"/>
      <c r="AJ178" s="829"/>
      <c r="AK178"/>
      <c r="AL178"/>
      <c r="AM178"/>
      <c r="AN178"/>
      <c r="AO178"/>
      <c r="AP178"/>
      <c r="AQ178"/>
      <c r="AR178"/>
      <c r="AS178"/>
      <c r="AT178"/>
      <c r="AU178"/>
      <c r="AV178"/>
    </row>
    <row r="179" spans="1:48" ht="13.5" thickBot="1" x14ac:dyDescent="0.25">
      <c r="A179" s="331" t="s">
        <v>266</v>
      </c>
      <c r="B179" s="933">
        <f t="array" ref="B179:L179">TRANSPOSE(Cls1CentVMT/OPDAYS_Cls1)</f>
        <v>51.642967609234425</v>
      </c>
      <c r="C179" s="934">
        <v>110.97733417848234</v>
      </c>
      <c r="D179" s="934">
        <v>204.40224583551472</v>
      </c>
      <c r="E179" s="934">
        <v>290.24610572847212</v>
      </c>
      <c r="F179" s="934">
        <v>364.75750419264841</v>
      </c>
      <c r="G179" s="934">
        <v>443.63126889109378</v>
      </c>
      <c r="H179" s="934">
        <v>506.78134229373978</v>
      </c>
      <c r="I179" s="934">
        <v>595.71283413609137</v>
      </c>
      <c r="J179" s="934">
        <v>682.23089916089702</v>
      </c>
      <c r="K179" s="934">
        <v>765.26438827532684</v>
      </c>
      <c r="L179" s="935">
        <v>970.27871027310334</v>
      </c>
      <c r="M179" s="931"/>
      <c r="N179" s="932"/>
      <c r="O179" s="933">
        <f t="array" ref="O179:Y179">TRANSPOSE(Cls1NCentVMT/OPDAYS_Cls1)</f>
        <v>47.924548633512046</v>
      </c>
      <c r="P179" s="934">
        <v>112.56389213862748</v>
      </c>
      <c r="Q179" s="934">
        <v>214.67280220238027</v>
      </c>
      <c r="R179" s="934">
        <v>288.30186744262801</v>
      </c>
      <c r="S179" s="934">
        <v>368.60089210549245</v>
      </c>
      <c r="T179" s="934">
        <v>447.31558789932524</v>
      </c>
      <c r="U179" s="934">
        <v>511.28831950097862</v>
      </c>
      <c r="V179" s="934">
        <v>595.73726658362273</v>
      </c>
      <c r="W179" s="934">
        <v>672.11099195240695</v>
      </c>
      <c r="X179" s="934">
        <v>757.0793017898726</v>
      </c>
      <c r="Y179" s="935">
        <v>896.16800791754974</v>
      </c>
      <c r="Z179" s="931"/>
      <c r="AA179" s="932"/>
      <c r="AB179" s="945" t="s">
        <v>186</v>
      </c>
      <c r="AC179" s="946" t="s">
        <v>15</v>
      </c>
      <c r="AD179" s="947" t="s">
        <v>18</v>
      </c>
      <c r="AE179" s="937" t="s">
        <v>186</v>
      </c>
      <c r="AF179" s="937" t="s">
        <v>15</v>
      </c>
      <c r="AG179" s="937" t="s">
        <v>18</v>
      </c>
      <c r="AH179" s="1172" t="s">
        <v>186</v>
      </c>
      <c r="AI179" s="937" t="s">
        <v>15</v>
      </c>
      <c r="AJ179" s="227"/>
      <c r="AK179"/>
      <c r="AL179"/>
      <c r="AM179"/>
      <c r="AN179"/>
      <c r="AO179"/>
      <c r="AP179"/>
      <c r="AQ179"/>
      <c r="AR179"/>
      <c r="AS179"/>
      <c r="AT179"/>
      <c r="AU179"/>
      <c r="AV179"/>
    </row>
    <row r="180" spans="1:48" ht="13.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8">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49">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6">
        <f t="shared" ref="AD180:AD205" si="112">AB180*AH180+AC180*AI180</f>
        <v>0</v>
      </c>
      <c r="AE180" s="937">
        <f t="shared" ref="AE180:AE194" si="113">SUMPRODUCT($B$74:$L$74,B180:L180)</f>
        <v>0</v>
      </c>
      <c r="AF180" s="937">
        <f t="shared" ref="AF180:AF194" si="114">SUMPRODUCT($O$74:$Y$74,O180:Y180)</f>
        <v>0</v>
      </c>
      <c r="AG180" s="937">
        <f t="shared" ref="AG180:AG194" si="115">SUM(AE180:AF180)</f>
        <v>0</v>
      </c>
      <c r="AH180" s="1172">
        <f>IF(AG180&gt;0,AE180/AG180,0)</f>
        <v>0</v>
      </c>
      <c r="AI180" s="937">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8">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49">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6">
        <f t="shared" si="112"/>
        <v>0</v>
      </c>
      <c r="AE181" s="937">
        <f t="shared" si="113"/>
        <v>0</v>
      </c>
      <c r="AF181" s="937">
        <f t="shared" si="114"/>
        <v>0</v>
      </c>
      <c r="AG181" s="937">
        <f t="shared" si="115"/>
        <v>0</v>
      </c>
      <c r="AH181" s="1172">
        <f t="shared" ref="AH181:AH223" si="116">IF(AG181&gt;0,AE181/AG181,0)</f>
        <v>0</v>
      </c>
      <c r="AI181" s="937">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8">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49">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6">
        <f t="shared" si="112"/>
        <v>0</v>
      </c>
      <c r="AE182" s="937">
        <f t="shared" si="113"/>
        <v>0</v>
      </c>
      <c r="AF182" s="937">
        <f t="shared" si="114"/>
        <v>0</v>
      </c>
      <c r="AG182" s="937">
        <f t="shared" si="115"/>
        <v>0</v>
      </c>
      <c r="AH182" s="1172">
        <f t="shared" si="116"/>
        <v>0</v>
      </c>
      <c r="AI182" s="937">
        <f t="shared" si="117"/>
        <v>0</v>
      </c>
      <c r="AJ182" s="227"/>
      <c r="AK182"/>
      <c r="AL182"/>
      <c r="AM182"/>
      <c r="AN182"/>
      <c r="AO182"/>
      <c r="AP182"/>
      <c r="AQ182"/>
      <c r="AR182"/>
      <c r="AS182"/>
      <c r="AT182"/>
      <c r="AU182"/>
      <c r="AV182"/>
    </row>
    <row r="183" spans="1:48" ht="13.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8">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49">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6">
        <f t="shared" si="112"/>
        <v>0</v>
      </c>
      <c r="AE183" s="937">
        <f t="shared" si="113"/>
        <v>0</v>
      </c>
      <c r="AF183" s="937">
        <f t="shared" si="114"/>
        <v>0</v>
      </c>
      <c r="AG183" s="937">
        <f t="shared" si="115"/>
        <v>0</v>
      </c>
      <c r="AH183" s="1172">
        <f t="shared" si="116"/>
        <v>0</v>
      </c>
      <c r="AI183" s="937">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8">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49">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6">
        <f t="shared" si="112"/>
        <v>0</v>
      </c>
      <c r="AE184" s="937">
        <f t="shared" si="113"/>
        <v>0</v>
      </c>
      <c r="AF184" s="937">
        <f t="shared" si="114"/>
        <v>0</v>
      </c>
      <c r="AG184" s="937">
        <f t="shared" si="115"/>
        <v>0</v>
      </c>
      <c r="AH184" s="1172">
        <f t="shared" si="116"/>
        <v>0</v>
      </c>
      <c r="AI184" s="937">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8">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49">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6">
        <f t="shared" si="112"/>
        <v>0</v>
      </c>
      <c r="AE185" s="937">
        <f t="shared" si="113"/>
        <v>0</v>
      </c>
      <c r="AF185" s="937">
        <f t="shared" si="114"/>
        <v>0</v>
      </c>
      <c r="AG185" s="937">
        <f t="shared" si="115"/>
        <v>0</v>
      </c>
      <c r="AH185" s="1172">
        <f t="shared" si="116"/>
        <v>0</v>
      </c>
      <c r="AI185" s="937">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8">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49">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6">
        <f t="shared" si="112"/>
        <v>0</v>
      </c>
      <c r="AE186" s="937">
        <f t="shared" si="113"/>
        <v>0</v>
      </c>
      <c r="AF186" s="937">
        <f t="shared" si="114"/>
        <v>0</v>
      </c>
      <c r="AG186" s="937">
        <f t="shared" si="115"/>
        <v>0</v>
      </c>
      <c r="AH186" s="1172">
        <f t="shared" si="116"/>
        <v>0</v>
      </c>
      <c r="AI186" s="937">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8">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49">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6">
        <f t="shared" si="112"/>
        <v>0</v>
      </c>
      <c r="AE187" s="937">
        <f t="shared" si="113"/>
        <v>0</v>
      </c>
      <c r="AF187" s="937">
        <f t="shared" si="114"/>
        <v>0</v>
      </c>
      <c r="AG187" s="937">
        <f t="shared" si="115"/>
        <v>0</v>
      </c>
      <c r="AH187" s="1172">
        <f t="shared" si="116"/>
        <v>0</v>
      </c>
      <c r="AI187" s="937">
        <f t="shared" si="117"/>
        <v>0</v>
      </c>
      <c r="AJ187" s="227"/>
      <c r="AK187"/>
      <c r="AL187"/>
      <c r="AM187"/>
      <c r="AN187"/>
      <c r="AO187"/>
      <c r="AP187"/>
      <c r="AQ187"/>
      <c r="AR187"/>
      <c r="AS187"/>
      <c r="AT187"/>
      <c r="AU187"/>
      <c r="AV187"/>
    </row>
    <row r="188" spans="1:48" ht="13.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8">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49">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6">
        <f t="shared" si="112"/>
        <v>0</v>
      </c>
      <c r="AE188" s="937">
        <f t="shared" si="113"/>
        <v>0</v>
      </c>
      <c r="AF188" s="937">
        <f t="shared" si="114"/>
        <v>0</v>
      </c>
      <c r="AG188" s="937">
        <f t="shared" si="115"/>
        <v>0</v>
      </c>
      <c r="AH188" s="1172">
        <f t="shared" si="116"/>
        <v>0</v>
      </c>
      <c r="AI188" s="937">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8">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49">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6">
        <f t="shared" si="112"/>
        <v>0</v>
      </c>
      <c r="AE189" s="937">
        <f t="shared" si="113"/>
        <v>0</v>
      </c>
      <c r="AF189" s="937">
        <f t="shared" si="114"/>
        <v>0</v>
      </c>
      <c r="AG189" s="937">
        <f t="shared" si="115"/>
        <v>0</v>
      </c>
      <c r="AH189" s="1172">
        <f t="shared" si="116"/>
        <v>0</v>
      </c>
      <c r="AI189" s="937">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8">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49">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6">
        <f t="shared" si="112"/>
        <v>0</v>
      </c>
      <c r="AE190" s="937">
        <f t="shared" si="113"/>
        <v>0</v>
      </c>
      <c r="AF190" s="937">
        <f t="shared" si="114"/>
        <v>0</v>
      </c>
      <c r="AG190" s="937">
        <f t="shared" si="115"/>
        <v>0</v>
      </c>
      <c r="AH190" s="1172">
        <f t="shared" si="116"/>
        <v>0</v>
      </c>
      <c r="AI190" s="937">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8">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49">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6">
        <f t="shared" si="112"/>
        <v>0</v>
      </c>
      <c r="AE191" s="937">
        <f t="shared" si="113"/>
        <v>0</v>
      </c>
      <c r="AF191" s="937">
        <f t="shared" si="114"/>
        <v>0</v>
      </c>
      <c r="AG191" s="937">
        <f t="shared" si="115"/>
        <v>0</v>
      </c>
      <c r="AH191" s="1172">
        <f t="shared" si="116"/>
        <v>0</v>
      </c>
      <c r="AI191" s="937">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8">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49">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6">
        <f t="shared" si="112"/>
        <v>0</v>
      </c>
      <c r="AE192" s="937">
        <f t="shared" si="113"/>
        <v>0</v>
      </c>
      <c r="AF192" s="937">
        <f t="shared" si="114"/>
        <v>0</v>
      </c>
      <c r="AG192" s="937">
        <f t="shared" si="115"/>
        <v>0</v>
      </c>
      <c r="AH192" s="1172">
        <f t="shared" si="116"/>
        <v>0</v>
      </c>
      <c r="AI192" s="937">
        <f t="shared" si="117"/>
        <v>0</v>
      </c>
      <c r="AJ192" s="227"/>
      <c r="AK192"/>
      <c r="AL192"/>
      <c r="AM192"/>
      <c r="AN192"/>
      <c r="AO192"/>
      <c r="AP192"/>
      <c r="AQ192"/>
      <c r="AR192"/>
      <c r="AS192"/>
      <c r="AT192"/>
      <c r="AU192"/>
      <c r="AV192"/>
    </row>
    <row r="193" spans="1:48" ht="13.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8">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49">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6">
        <f t="shared" si="112"/>
        <v>0</v>
      </c>
      <c r="AE193" s="937">
        <f t="shared" si="113"/>
        <v>0</v>
      </c>
      <c r="AF193" s="937">
        <f t="shared" si="114"/>
        <v>0</v>
      </c>
      <c r="AG193" s="937">
        <f t="shared" si="115"/>
        <v>0</v>
      </c>
      <c r="AH193" s="1172">
        <f t="shared" si="116"/>
        <v>0</v>
      </c>
      <c r="AI193" s="937">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8">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49">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6">
        <f t="shared" si="112"/>
        <v>0</v>
      </c>
      <c r="AE194" s="937">
        <f t="shared" si="113"/>
        <v>0</v>
      </c>
      <c r="AF194" s="937">
        <f t="shared" si="114"/>
        <v>0</v>
      </c>
      <c r="AG194" s="937">
        <f t="shared" si="115"/>
        <v>0</v>
      </c>
      <c r="AH194" s="1172">
        <f t="shared" si="116"/>
        <v>0</v>
      </c>
      <c r="AI194" s="937">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0</v>
      </c>
      <c r="M195" s="296">
        <f t="shared" si="108"/>
        <v>0</v>
      </c>
      <c r="N195" s="298">
        <f t="shared" si="109"/>
        <v>0</v>
      </c>
      <c r="O195" s="344">
        <v>0</v>
      </c>
      <c r="P195" s="345">
        <v>0</v>
      </c>
      <c r="Q195" s="345">
        <v>0</v>
      </c>
      <c r="R195" s="345">
        <v>0</v>
      </c>
      <c r="S195" s="345">
        <v>0</v>
      </c>
      <c r="T195" s="345">
        <v>0</v>
      </c>
      <c r="U195" s="345">
        <v>0</v>
      </c>
      <c r="V195" s="345">
        <v>0</v>
      </c>
      <c r="W195" s="345">
        <v>0</v>
      </c>
      <c r="X195" s="345">
        <v>0</v>
      </c>
      <c r="Y195" s="380">
        <v>0</v>
      </c>
      <c r="Z195" s="296">
        <f t="shared" si="110"/>
        <v>0</v>
      </c>
      <c r="AA195" s="298">
        <f t="shared" si="111"/>
        <v>0</v>
      </c>
      <c r="AB195" s="948">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49">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6">
        <f t="shared" si="112"/>
        <v>0</v>
      </c>
      <c r="AE195" s="937">
        <f>SUMPRODUCT($B$74:$L$74,B195:L195)</f>
        <v>0</v>
      </c>
      <c r="AF195" s="937">
        <f>SUMPRODUCT($O$74:$Y$74,O195:Y195)</f>
        <v>0</v>
      </c>
      <c r="AG195" s="937">
        <f>SUM(AE195:AF195)</f>
        <v>0</v>
      </c>
      <c r="AH195" s="1172">
        <f t="shared" si="116"/>
        <v>0</v>
      </c>
      <c r="AI195" s="937">
        <f t="shared" si="117"/>
        <v>0</v>
      </c>
      <c r="AJ195" s="227"/>
      <c r="AK195" s="227"/>
      <c r="AL195" s="227"/>
      <c r="AM195" s="227"/>
    </row>
    <row r="196" spans="1:48" x14ac:dyDescent="0.2">
      <c r="A196" s="330">
        <v>2023</v>
      </c>
      <c r="B196" s="344">
        <v>0</v>
      </c>
      <c r="C196" s="345">
        <v>0</v>
      </c>
      <c r="D196" s="345">
        <v>0</v>
      </c>
      <c r="E196" s="345">
        <v>0</v>
      </c>
      <c r="F196" s="345">
        <v>0</v>
      </c>
      <c r="G196" s="345">
        <v>0</v>
      </c>
      <c r="H196" s="345">
        <v>0</v>
      </c>
      <c r="I196" s="345">
        <v>0</v>
      </c>
      <c r="J196" s="345">
        <v>0</v>
      </c>
      <c r="K196" s="345">
        <v>0</v>
      </c>
      <c r="L196" s="380">
        <v>0</v>
      </c>
      <c r="M196" s="296">
        <f t="shared" si="108"/>
        <v>0</v>
      </c>
      <c r="N196" s="298">
        <f t="shared" si="109"/>
        <v>0</v>
      </c>
      <c r="O196" s="344">
        <v>0</v>
      </c>
      <c r="P196" s="345">
        <v>0</v>
      </c>
      <c r="Q196" s="345">
        <v>0</v>
      </c>
      <c r="R196" s="345">
        <v>0</v>
      </c>
      <c r="S196" s="345">
        <v>0</v>
      </c>
      <c r="T196" s="345">
        <v>0</v>
      </c>
      <c r="U196" s="345">
        <v>0</v>
      </c>
      <c r="V196" s="345">
        <v>0</v>
      </c>
      <c r="W196" s="345">
        <v>0</v>
      </c>
      <c r="X196" s="345">
        <v>0</v>
      </c>
      <c r="Y196" s="380">
        <v>0</v>
      </c>
      <c r="Z196" s="296">
        <f t="shared" si="110"/>
        <v>0</v>
      </c>
      <c r="AA196" s="298">
        <f t="shared" si="111"/>
        <v>0</v>
      </c>
      <c r="AB196" s="948">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49">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6">
        <f t="shared" si="112"/>
        <v>0</v>
      </c>
      <c r="AE196" s="937">
        <f t="shared" ref="AE196:AE223" si="118">SUMPRODUCT($B$74:$L$74,B196:L196)</f>
        <v>0</v>
      </c>
      <c r="AF196" s="937">
        <f t="shared" ref="AF196:AF223" si="119">SUMPRODUCT($O$74:$Y$74,O196:Y196)</f>
        <v>0</v>
      </c>
      <c r="AG196" s="937">
        <f t="shared" ref="AG196:AG223" si="120">SUM(AE196:AF196)</f>
        <v>0</v>
      </c>
      <c r="AH196" s="1172">
        <f t="shared" si="116"/>
        <v>0</v>
      </c>
      <c r="AI196" s="937">
        <f t="shared" si="117"/>
        <v>0</v>
      </c>
      <c r="AJ196" s="227"/>
      <c r="AK196" s="227"/>
      <c r="AL196" s="227"/>
      <c r="AM196" s="227"/>
    </row>
    <row r="197" spans="1:48" x14ac:dyDescent="0.2">
      <c r="A197" s="330">
        <v>2024</v>
      </c>
      <c r="B197" s="344">
        <v>0</v>
      </c>
      <c r="C197" s="345">
        <v>0</v>
      </c>
      <c r="D197" s="345">
        <v>0</v>
      </c>
      <c r="E197" s="345">
        <v>0</v>
      </c>
      <c r="F197" s="345">
        <v>0</v>
      </c>
      <c r="G197" s="345">
        <v>0</v>
      </c>
      <c r="H197" s="345">
        <v>0</v>
      </c>
      <c r="I197" s="345">
        <v>0</v>
      </c>
      <c r="J197" s="345">
        <v>0</v>
      </c>
      <c r="K197" s="345">
        <v>0</v>
      </c>
      <c r="L197" s="380">
        <v>0</v>
      </c>
      <c r="M197" s="296">
        <f t="shared" si="108"/>
        <v>0</v>
      </c>
      <c r="N197" s="298">
        <f t="shared" si="109"/>
        <v>0</v>
      </c>
      <c r="O197" s="344">
        <v>0</v>
      </c>
      <c r="P197" s="345">
        <v>0</v>
      </c>
      <c r="Q197" s="345">
        <v>0</v>
      </c>
      <c r="R197" s="345">
        <v>0</v>
      </c>
      <c r="S197" s="345">
        <v>0</v>
      </c>
      <c r="T197" s="345">
        <v>0</v>
      </c>
      <c r="U197" s="345">
        <v>0</v>
      </c>
      <c r="V197" s="345">
        <v>0</v>
      </c>
      <c r="W197" s="345">
        <v>0</v>
      </c>
      <c r="X197" s="345">
        <v>0</v>
      </c>
      <c r="Y197" s="380">
        <v>0</v>
      </c>
      <c r="Z197" s="296">
        <f t="shared" si="110"/>
        <v>0</v>
      </c>
      <c r="AA197" s="298">
        <f t="shared" si="111"/>
        <v>0</v>
      </c>
      <c r="AB197" s="948">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49">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6">
        <f t="shared" si="112"/>
        <v>0</v>
      </c>
      <c r="AE197" s="937">
        <f t="shared" si="118"/>
        <v>0</v>
      </c>
      <c r="AF197" s="937">
        <f t="shared" si="119"/>
        <v>0</v>
      </c>
      <c r="AG197" s="937">
        <f t="shared" si="120"/>
        <v>0</v>
      </c>
      <c r="AH197" s="1172">
        <f t="shared" si="116"/>
        <v>0</v>
      </c>
      <c r="AI197" s="937">
        <f t="shared" si="117"/>
        <v>0</v>
      </c>
      <c r="AJ197" s="227"/>
      <c r="AK197" s="227"/>
      <c r="AL197" s="227"/>
      <c r="AM197" s="227"/>
    </row>
    <row r="198" spans="1:48" ht="13.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8"/>
        <v>0</v>
      </c>
      <c r="N198" s="312">
        <f t="shared" si="109"/>
        <v>0</v>
      </c>
      <c r="O198" s="346">
        <v>0</v>
      </c>
      <c r="P198" s="347">
        <v>0</v>
      </c>
      <c r="Q198" s="347">
        <v>0</v>
      </c>
      <c r="R198" s="347">
        <v>0</v>
      </c>
      <c r="S198" s="347">
        <v>0</v>
      </c>
      <c r="T198" s="347">
        <v>0</v>
      </c>
      <c r="U198" s="347">
        <v>0</v>
      </c>
      <c r="V198" s="347">
        <v>0</v>
      </c>
      <c r="W198" s="347">
        <v>0</v>
      </c>
      <c r="X198" s="347">
        <v>0</v>
      </c>
      <c r="Y198" s="381">
        <v>0</v>
      </c>
      <c r="Z198" s="310">
        <f t="shared" si="110"/>
        <v>0</v>
      </c>
      <c r="AA198" s="312">
        <f t="shared" si="111"/>
        <v>0</v>
      </c>
      <c r="AB198" s="948">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49">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6">
        <f t="shared" si="112"/>
        <v>0</v>
      </c>
      <c r="AE198" s="937">
        <f t="shared" si="118"/>
        <v>0</v>
      </c>
      <c r="AF198" s="937">
        <f t="shared" si="119"/>
        <v>0</v>
      </c>
      <c r="AG198" s="937">
        <f t="shared" si="120"/>
        <v>0</v>
      </c>
      <c r="AH198" s="1172">
        <f t="shared" si="116"/>
        <v>0</v>
      </c>
      <c r="AI198" s="937">
        <f t="shared" si="117"/>
        <v>0</v>
      </c>
      <c r="AJ198" s="227"/>
      <c r="AK198" s="227"/>
      <c r="AL198" s="227"/>
      <c r="AM198" s="227"/>
    </row>
    <row r="199" spans="1:48" x14ac:dyDescent="0.2">
      <c r="A199" s="329">
        <v>2026</v>
      </c>
      <c r="B199" s="342">
        <v>0</v>
      </c>
      <c r="C199" s="343">
        <v>0</v>
      </c>
      <c r="D199" s="343">
        <v>0</v>
      </c>
      <c r="E199" s="343">
        <v>0</v>
      </c>
      <c r="F199" s="343">
        <v>0</v>
      </c>
      <c r="G199" s="343">
        <v>0</v>
      </c>
      <c r="H199" s="343">
        <v>0</v>
      </c>
      <c r="I199" s="343">
        <v>0</v>
      </c>
      <c r="J199" s="343">
        <v>0</v>
      </c>
      <c r="K199" s="343">
        <v>0</v>
      </c>
      <c r="L199" s="379">
        <v>0</v>
      </c>
      <c r="M199" s="282">
        <f t="shared" si="108"/>
        <v>0</v>
      </c>
      <c r="N199" s="284">
        <f t="shared" si="109"/>
        <v>0</v>
      </c>
      <c r="O199" s="342">
        <v>0</v>
      </c>
      <c r="P199" s="343">
        <v>0</v>
      </c>
      <c r="Q199" s="343">
        <v>0</v>
      </c>
      <c r="R199" s="343">
        <v>0</v>
      </c>
      <c r="S199" s="343">
        <v>0</v>
      </c>
      <c r="T199" s="343">
        <v>0</v>
      </c>
      <c r="U199" s="343">
        <v>0</v>
      </c>
      <c r="V199" s="343">
        <v>0</v>
      </c>
      <c r="W199" s="343">
        <v>0</v>
      </c>
      <c r="X199" s="343">
        <v>0</v>
      </c>
      <c r="Y199" s="379">
        <v>0</v>
      </c>
      <c r="Z199" s="282">
        <f t="shared" si="110"/>
        <v>0</v>
      </c>
      <c r="AA199" s="284">
        <f t="shared" si="111"/>
        <v>0</v>
      </c>
      <c r="AB199" s="948">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49">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6">
        <f t="shared" si="112"/>
        <v>0</v>
      </c>
      <c r="AE199" s="937">
        <f t="shared" si="118"/>
        <v>0</v>
      </c>
      <c r="AF199" s="937">
        <f t="shared" si="119"/>
        <v>0</v>
      </c>
      <c r="AG199" s="937">
        <f t="shared" si="120"/>
        <v>0</v>
      </c>
      <c r="AH199" s="1172">
        <f t="shared" si="116"/>
        <v>0</v>
      </c>
      <c r="AI199" s="937">
        <f t="shared" si="117"/>
        <v>0</v>
      </c>
      <c r="AJ199" s="227"/>
      <c r="AK199" s="227"/>
      <c r="AL199" s="227"/>
      <c r="AM199" s="227"/>
    </row>
    <row r="200" spans="1:48" x14ac:dyDescent="0.2">
      <c r="A200" s="330">
        <v>2027</v>
      </c>
      <c r="B200" s="344">
        <v>0</v>
      </c>
      <c r="C200" s="345">
        <v>0</v>
      </c>
      <c r="D200" s="345">
        <v>0</v>
      </c>
      <c r="E200" s="345">
        <v>0</v>
      </c>
      <c r="F200" s="345">
        <v>0</v>
      </c>
      <c r="G200" s="345">
        <v>0</v>
      </c>
      <c r="H200" s="345">
        <v>0</v>
      </c>
      <c r="I200" s="345">
        <v>0</v>
      </c>
      <c r="J200" s="345">
        <v>0</v>
      </c>
      <c r="K200" s="345">
        <v>0</v>
      </c>
      <c r="L200" s="380">
        <v>0</v>
      </c>
      <c r="M200" s="296">
        <f t="shared" si="108"/>
        <v>0</v>
      </c>
      <c r="N200" s="298">
        <f t="shared" si="109"/>
        <v>0</v>
      </c>
      <c r="O200" s="344">
        <v>0</v>
      </c>
      <c r="P200" s="345">
        <v>0</v>
      </c>
      <c r="Q200" s="345">
        <v>0</v>
      </c>
      <c r="R200" s="345">
        <v>0</v>
      </c>
      <c r="S200" s="345">
        <v>0</v>
      </c>
      <c r="T200" s="345">
        <v>0</v>
      </c>
      <c r="U200" s="345">
        <v>0</v>
      </c>
      <c r="V200" s="345">
        <v>0</v>
      </c>
      <c r="W200" s="345">
        <v>0</v>
      </c>
      <c r="X200" s="345">
        <v>0</v>
      </c>
      <c r="Y200" s="380">
        <v>0</v>
      </c>
      <c r="Z200" s="296">
        <f t="shared" si="110"/>
        <v>0</v>
      </c>
      <c r="AA200" s="298">
        <f t="shared" si="111"/>
        <v>0</v>
      </c>
      <c r="AB200" s="948">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49">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6">
        <f t="shared" si="112"/>
        <v>0</v>
      </c>
      <c r="AE200" s="937">
        <f t="shared" si="118"/>
        <v>0</v>
      </c>
      <c r="AF200" s="937">
        <f t="shared" si="119"/>
        <v>0</v>
      </c>
      <c r="AG200" s="937">
        <f t="shared" si="120"/>
        <v>0</v>
      </c>
      <c r="AH200" s="1172">
        <f t="shared" si="116"/>
        <v>0</v>
      </c>
      <c r="AI200" s="937">
        <f t="shared" si="117"/>
        <v>0</v>
      </c>
      <c r="AJ200" s="227"/>
      <c r="AK200" s="227"/>
      <c r="AL200" s="227"/>
      <c r="AM200" s="227"/>
    </row>
    <row r="201" spans="1:48" x14ac:dyDescent="0.2">
      <c r="A201" s="330">
        <v>2028</v>
      </c>
      <c r="B201" s="344">
        <v>0</v>
      </c>
      <c r="C201" s="345">
        <v>0</v>
      </c>
      <c r="D201" s="345">
        <v>0</v>
      </c>
      <c r="E201" s="345">
        <v>0</v>
      </c>
      <c r="F201" s="345">
        <v>0</v>
      </c>
      <c r="G201" s="345">
        <v>0</v>
      </c>
      <c r="H201" s="345">
        <v>0</v>
      </c>
      <c r="I201" s="345">
        <v>0</v>
      </c>
      <c r="J201" s="345">
        <v>0</v>
      </c>
      <c r="K201" s="345">
        <v>0</v>
      </c>
      <c r="L201" s="380">
        <v>0</v>
      </c>
      <c r="M201" s="296">
        <f t="shared" si="108"/>
        <v>0</v>
      </c>
      <c r="N201" s="298">
        <f t="shared" si="109"/>
        <v>0</v>
      </c>
      <c r="O201" s="344">
        <v>0</v>
      </c>
      <c r="P201" s="345">
        <v>0</v>
      </c>
      <c r="Q201" s="345">
        <v>0</v>
      </c>
      <c r="R201" s="345">
        <v>0</v>
      </c>
      <c r="S201" s="345">
        <v>0</v>
      </c>
      <c r="T201" s="345">
        <v>0</v>
      </c>
      <c r="U201" s="345">
        <v>0</v>
      </c>
      <c r="V201" s="345">
        <v>0</v>
      </c>
      <c r="W201" s="345">
        <v>0</v>
      </c>
      <c r="X201" s="345">
        <v>0</v>
      </c>
      <c r="Y201" s="380">
        <v>0</v>
      </c>
      <c r="Z201" s="296">
        <f t="shared" si="110"/>
        <v>0</v>
      </c>
      <c r="AA201" s="298">
        <f t="shared" si="111"/>
        <v>0</v>
      </c>
      <c r="AB201" s="948">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49">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6">
        <f t="shared" si="112"/>
        <v>0</v>
      </c>
      <c r="AE201" s="937">
        <f t="shared" si="118"/>
        <v>0</v>
      </c>
      <c r="AF201" s="937">
        <f t="shared" si="119"/>
        <v>0</v>
      </c>
      <c r="AG201" s="937">
        <f t="shared" si="120"/>
        <v>0</v>
      </c>
      <c r="AH201" s="1172">
        <f t="shared" si="116"/>
        <v>0</v>
      </c>
      <c r="AI201" s="937">
        <f t="shared" si="117"/>
        <v>0</v>
      </c>
      <c r="AJ201" s="227"/>
      <c r="AK201" s="227"/>
      <c r="AL201" s="227"/>
      <c r="AM201" s="227"/>
    </row>
    <row r="202" spans="1:48" x14ac:dyDescent="0.2">
      <c r="A202" s="330">
        <v>2029</v>
      </c>
      <c r="B202" s="344">
        <v>0</v>
      </c>
      <c r="C202" s="345">
        <v>0</v>
      </c>
      <c r="D202" s="345">
        <v>0</v>
      </c>
      <c r="E202" s="345">
        <v>0</v>
      </c>
      <c r="F202" s="345">
        <v>0</v>
      </c>
      <c r="G202" s="345">
        <v>0</v>
      </c>
      <c r="H202" s="345">
        <v>0</v>
      </c>
      <c r="I202" s="345">
        <v>0</v>
      </c>
      <c r="J202" s="345">
        <v>0</v>
      </c>
      <c r="K202" s="345">
        <v>0</v>
      </c>
      <c r="L202" s="380">
        <v>0</v>
      </c>
      <c r="M202" s="296">
        <f t="shared" si="108"/>
        <v>0</v>
      </c>
      <c r="N202" s="298">
        <f t="shared" si="109"/>
        <v>0</v>
      </c>
      <c r="O202" s="344">
        <v>0</v>
      </c>
      <c r="P202" s="345">
        <v>0</v>
      </c>
      <c r="Q202" s="345">
        <v>0</v>
      </c>
      <c r="R202" s="345">
        <v>0</v>
      </c>
      <c r="S202" s="345">
        <v>0</v>
      </c>
      <c r="T202" s="345">
        <v>0</v>
      </c>
      <c r="U202" s="345">
        <v>0</v>
      </c>
      <c r="V202" s="345">
        <v>0</v>
      </c>
      <c r="W202" s="345">
        <v>0</v>
      </c>
      <c r="X202" s="345">
        <v>0</v>
      </c>
      <c r="Y202" s="380">
        <v>0</v>
      </c>
      <c r="Z202" s="296">
        <f t="shared" si="110"/>
        <v>0</v>
      </c>
      <c r="AA202" s="298">
        <f t="shared" si="111"/>
        <v>0</v>
      </c>
      <c r="AB202" s="948">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49">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6">
        <f t="shared" si="112"/>
        <v>0</v>
      </c>
      <c r="AE202" s="937">
        <f t="shared" si="118"/>
        <v>0</v>
      </c>
      <c r="AF202" s="937">
        <f t="shared" si="119"/>
        <v>0</v>
      </c>
      <c r="AG202" s="937">
        <f t="shared" si="120"/>
        <v>0</v>
      </c>
      <c r="AH202" s="1172">
        <f t="shared" si="116"/>
        <v>0</v>
      </c>
      <c r="AI202" s="937">
        <f t="shared" si="117"/>
        <v>0</v>
      </c>
      <c r="AJ202" s="227"/>
      <c r="AK202" s="227"/>
      <c r="AL202" s="227"/>
      <c r="AM202" s="227"/>
    </row>
    <row r="203" spans="1:48" ht="13.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8"/>
        <v>0</v>
      </c>
      <c r="N203" s="312">
        <f t="shared" si="109"/>
        <v>0</v>
      </c>
      <c r="O203" s="346">
        <v>0</v>
      </c>
      <c r="P203" s="347">
        <v>0</v>
      </c>
      <c r="Q203" s="347">
        <v>0</v>
      </c>
      <c r="R203" s="347">
        <v>0</v>
      </c>
      <c r="S203" s="347">
        <v>0</v>
      </c>
      <c r="T203" s="347">
        <v>0</v>
      </c>
      <c r="U203" s="347">
        <v>0</v>
      </c>
      <c r="V203" s="347">
        <v>0</v>
      </c>
      <c r="W203" s="347">
        <v>0</v>
      </c>
      <c r="X203" s="347">
        <v>0</v>
      </c>
      <c r="Y203" s="381">
        <v>0</v>
      </c>
      <c r="Z203" s="310">
        <f t="shared" si="110"/>
        <v>0</v>
      </c>
      <c r="AA203" s="312">
        <f t="shared" si="111"/>
        <v>0</v>
      </c>
      <c r="AB203" s="948">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49">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6">
        <f t="shared" si="112"/>
        <v>0</v>
      </c>
      <c r="AE203" s="937">
        <f t="shared" si="118"/>
        <v>0</v>
      </c>
      <c r="AF203" s="937">
        <f t="shared" si="119"/>
        <v>0</v>
      </c>
      <c r="AG203" s="937">
        <f t="shared" si="120"/>
        <v>0</v>
      </c>
      <c r="AH203" s="1172">
        <f t="shared" si="116"/>
        <v>0</v>
      </c>
      <c r="AI203" s="937">
        <f t="shared" si="117"/>
        <v>0</v>
      </c>
      <c r="AJ203" s="227"/>
      <c r="AK203" s="227"/>
      <c r="AL203" s="227"/>
      <c r="AM203" s="227"/>
    </row>
    <row r="204" spans="1:48" x14ac:dyDescent="0.2">
      <c r="A204" s="329">
        <v>2031</v>
      </c>
      <c r="B204" s="342">
        <v>0</v>
      </c>
      <c r="C204" s="343">
        <v>0</v>
      </c>
      <c r="D204" s="343">
        <v>0</v>
      </c>
      <c r="E204" s="343">
        <v>0</v>
      </c>
      <c r="F204" s="343">
        <v>0</v>
      </c>
      <c r="G204" s="343">
        <v>0</v>
      </c>
      <c r="H204" s="343">
        <v>0</v>
      </c>
      <c r="I204" s="343">
        <v>0</v>
      </c>
      <c r="J204" s="343">
        <v>0</v>
      </c>
      <c r="K204" s="343">
        <v>0</v>
      </c>
      <c r="L204" s="379">
        <v>0</v>
      </c>
      <c r="M204" s="282">
        <f t="shared" si="108"/>
        <v>0</v>
      </c>
      <c r="N204" s="284">
        <f t="shared" si="109"/>
        <v>0</v>
      </c>
      <c r="O204" s="342">
        <v>0</v>
      </c>
      <c r="P204" s="343">
        <v>0</v>
      </c>
      <c r="Q204" s="343">
        <v>0</v>
      </c>
      <c r="R204" s="343">
        <v>0</v>
      </c>
      <c r="S204" s="343">
        <v>0</v>
      </c>
      <c r="T204" s="343">
        <v>0</v>
      </c>
      <c r="U204" s="343">
        <v>0</v>
      </c>
      <c r="V204" s="343">
        <v>0</v>
      </c>
      <c r="W204" s="343">
        <v>0</v>
      </c>
      <c r="X204" s="343">
        <v>0</v>
      </c>
      <c r="Y204" s="379">
        <v>0</v>
      </c>
      <c r="Z204" s="282">
        <f t="shared" si="110"/>
        <v>0</v>
      </c>
      <c r="AA204" s="284">
        <f t="shared" si="111"/>
        <v>0</v>
      </c>
      <c r="AB204" s="948">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49">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6">
        <f t="shared" si="112"/>
        <v>0</v>
      </c>
      <c r="AE204" s="937">
        <f t="shared" si="118"/>
        <v>0</v>
      </c>
      <c r="AF204" s="937">
        <f t="shared" si="119"/>
        <v>0</v>
      </c>
      <c r="AG204" s="937">
        <f t="shared" si="120"/>
        <v>0</v>
      </c>
      <c r="AH204" s="1172">
        <f t="shared" si="116"/>
        <v>0</v>
      </c>
      <c r="AI204" s="937">
        <f t="shared" si="117"/>
        <v>0</v>
      </c>
      <c r="AJ204" s="227"/>
      <c r="AK204" s="227"/>
      <c r="AL204" s="227"/>
      <c r="AM204" s="227"/>
    </row>
    <row r="205" spans="1:48" x14ac:dyDescent="0.2">
      <c r="A205" s="330">
        <v>2032</v>
      </c>
      <c r="B205" s="344">
        <v>0</v>
      </c>
      <c r="C205" s="345">
        <v>0</v>
      </c>
      <c r="D205" s="345">
        <v>0</v>
      </c>
      <c r="E205" s="345">
        <v>0</v>
      </c>
      <c r="F205" s="345">
        <v>0</v>
      </c>
      <c r="G205" s="345">
        <v>0</v>
      </c>
      <c r="H205" s="345">
        <v>0</v>
      </c>
      <c r="I205" s="345">
        <v>0</v>
      </c>
      <c r="J205" s="345">
        <v>0</v>
      </c>
      <c r="K205" s="345">
        <v>0</v>
      </c>
      <c r="L205" s="380">
        <v>0</v>
      </c>
      <c r="M205" s="296">
        <f t="shared" si="108"/>
        <v>0</v>
      </c>
      <c r="N205" s="298">
        <f t="shared" si="109"/>
        <v>0</v>
      </c>
      <c r="O205" s="344">
        <v>0</v>
      </c>
      <c r="P205" s="345">
        <v>0</v>
      </c>
      <c r="Q205" s="345">
        <v>0</v>
      </c>
      <c r="R205" s="345">
        <v>0</v>
      </c>
      <c r="S205" s="345">
        <v>0</v>
      </c>
      <c r="T205" s="345">
        <v>0</v>
      </c>
      <c r="U205" s="345">
        <v>0</v>
      </c>
      <c r="V205" s="345">
        <v>0</v>
      </c>
      <c r="W205" s="345">
        <v>0</v>
      </c>
      <c r="X205" s="345">
        <v>0</v>
      </c>
      <c r="Y205" s="380">
        <v>0</v>
      </c>
      <c r="Z205" s="296">
        <f t="shared" si="110"/>
        <v>0</v>
      </c>
      <c r="AA205" s="298">
        <f t="shared" si="111"/>
        <v>0</v>
      </c>
      <c r="AB205" s="948">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49">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6">
        <f t="shared" si="112"/>
        <v>0</v>
      </c>
      <c r="AE205" s="937">
        <f t="shared" si="118"/>
        <v>0</v>
      </c>
      <c r="AF205" s="937">
        <f t="shared" si="119"/>
        <v>0</v>
      </c>
      <c r="AG205" s="937">
        <f t="shared" si="120"/>
        <v>0</v>
      </c>
      <c r="AH205" s="1172">
        <f t="shared" si="116"/>
        <v>0</v>
      </c>
      <c r="AI205" s="937">
        <f t="shared" si="117"/>
        <v>0</v>
      </c>
      <c r="AJ205" s="227"/>
      <c r="AK205" s="227"/>
      <c r="AL205" s="227"/>
      <c r="AM205" s="227"/>
    </row>
    <row r="206" spans="1:48" x14ac:dyDescent="0.2">
      <c r="A206" s="330">
        <v>2033</v>
      </c>
      <c r="B206" s="344">
        <v>0</v>
      </c>
      <c r="C206" s="345">
        <v>0</v>
      </c>
      <c r="D206" s="345">
        <v>0</v>
      </c>
      <c r="E206" s="345">
        <v>0</v>
      </c>
      <c r="F206" s="345">
        <v>0</v>
      </c>
      <c r="G206" s="345">
        <v>0</v>
      </c>
      <c r="H206" s="345">
        <v>0</v>
      </c>
      <c r="I206" s="345">
        <v>0</v>
      </c>
      <c r="J206" s="345">
        <v>0</v>
      </c>
      <c r="K206" s="345">
        <v>0</v>
      </c>
      <c r="L206" s="380">
        <v>0</v>
      </c>
      <c r="M206" s="296">
        <f t="shared" si="108"/>
        <v>0</v>
      </c>
      <c r="N206" s="298">
        <f t="shared" si="109"/>
        <v>0</v>
      </c>
      <c r="O206" s="344">
        <v>0</v>
      </c>
      <c r="P206" s="345">
        <v>0</v>
      </c>
      <c r="Q206" s="345">
        <v>0</v>
      </c>
      <c r="R206" s="345">
        <v>0</v>
      </c>
      <c r="S206" s="345">
        <v>0</v>
      </c>
      <c r="T206" s="345">
        <v>0</v>
      </c>
      <c r="U206" s="345">
        <v>0</v>
      </c>
      <c r="V206" s="345">
        <v>0</v>
      </c>
      <c r="W206" s="345">
        <v>0</v>
      </c>
      <c r="X206" s="345">
        <v>0</v>
      </c>
      <c r="Y206" s="380">
        <v>0</v>
      </c>
      <c r="Z206" s="296">
        <f t="shared" si="110"/>
        <v>0</v>
      </c>
      <c r="AA206" s="298">
        <f t="shared" si="111"/>
        <v>0</v>
      </c>
      <c r="AB206" s="948">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49">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6">
        <f>AB206*AH206+AC206*AI206</f>
        <v>0</v>
      </c>
      <c r="AE206" s="937">
        <f t="shared" si="118"/>
        <v>0</v>
      </c>
      <c r="AF206" s="937">
        <f t="shared" si="119"/>
        <v>0</v>
      </c>
      <c r="AG206" s="937">
        <f t="shared" si="120"/>
        <v>0</v>
      </c>
      <c r="AH206" s="1172">
        <f t="shared" si="116"/>
        <v>0</v>
      </c>
      <c r="AI206" s="937">
        <f t="shared" si="117"/>
        <v>0</v>
      </c>
      <c r="AJ206" s="227"/>
      <c r="AK206" s="227"/>
      <c r="AL206" s="227"/>
      <c r="AM206" s="227"/>
    </row>
    <row r="207" spans="1:48" x14ac:dyDescent="0.2">
      <c r="A207" s="330">
        <v>2034</v>
      </c>
      <c r="B207" s="344">
        <v>0</v>
      </c>
      <c r="C207" s="345">
        <v>0</v>
      </c>
      <c r="D207" s="345">
        <v>0</v>
      </c>
      <c r="E207" s="345">
        <v>0</v>
      </c>
      <c r="F207" s="345">
        <v>0</v>
      </c>
      <c r="G207" s="345">
        <v>0</v>
      </c>
      <c r="H207" s="345">
        <v>0</v>
      </c>
      <c r="I207" s="345">
        <v>0</v>
      </c>
      <c r="J207" s="345">
        <v>0</v>
      </c>
      <c r="K207" s="345">
        <v>0</v>
      </c>
      <c r="L207" s="380">
        <v>0</v>
      </c>
      <c r="M207" s="296">
        <f t="shared" si="108"/>
        <v>0</v>
      </c>
      <c r="N207" s="298">
        <f t="shared" si="109"/>
        <v>0</v>
      </c>
      <c r="O207" s="344">
        <v>0</v>
      </c>
      <c r="P207" s="345">
        <v>0</v>
      </c>
      <c r="Q207" s="345">
        <v>0</v>
      </c>
      <c r="R207" s="345">
        <v>0</v>
      </c>
      <c r="S207" s="345">
        <v>0</v>
      </c>
      <c r="T207" s="345">
        <v>0</v>
      </c>
      <c r="U207" s="345">
        <v>0</v>
      </c>
      <c r="V207" s="345">
        <v>0</v>
      </c>
      <c r="W207" s="345">
        <v>0</v>
      </c>
      <c r="X207" s="345">
        <v>0</v>
      </c>
      <c r="Y207" s="380">
        <v>0</v>
      </c>
      <c r="Z207" s="296">
        <f t="shared" si="110"/>
        <v>0</v>
      </c>
      <c r="AA207" s="298">
        <f t="shared" si="111"/>
        <v>0</v>
      </c>
      <c r="AB207" s="948">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49">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6">
        <f t="shared" ref="AD207:AD223" si="121">AB207*AH207+AC207*AI207</f>
        <v>0</v>
      </c>
      <c r="AE207" s="937">
        <f t="shared" si="118"/>
        <v>0</v>
      </c>
      <c r="AF207" s="937">
        <f t="shared" si="119"/>
        <v>0</v>
      </c>
      <c r="AG207" s="937">
        <f t="shared" si="120"/>
        <v>0</v>
      </c>
      <c r="AH207" s="1172">
        <f t="shared" si="116"/>
        <v>0</v>
      </c>
      <c r="AI207" s="937">
        <f t="shared" si="117"/>
        <v>0</v>
      </c>
      <c r="AJ207" s="227"/>
      <c r="AK207" s="227"/>
      <c r="AL207" s="227"/>
      <c r="AM207" s="227"/>
    </row>
    <row r="208" spans="1:48" ht="13.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8"/>
        <v>0</v>
      </c>
      <c r="N208" s="312">
        <f t="shared" si="109"/>
        <v>0</v>
      </c>
      <c r="O208" s="346">
        <v>0</v>
      </c>
      <c r="P208" s="347">
        <v>0</v>
      </c>
      <c r="Q208" s="347">
        <v>0</v>
      </c>
      <c r="R208" s="347">
        <v>0</v>
      </c>
      <c r="S208" s="347">
        <v>0</v>
      </c>
      <c r="T208" s="347">
        <v>0</v>
      </c>
      <c r="U208" s="347">
        <v>0</v>
      </c>
      <c r="V208" s="347">
        <v>0</v>
      </c>
      <c r="W208" s="347">
        <v>0</v>
      </c>
      <c r="X208" s="347">
        <v>0</v>
      </c>
      <c r="Y208" s="381">
        <v>0</v>
      </c>
      <c r="Z208" s="310">
        <f t="shared" si="110"/>
        <v>0</v>
      </c>
      <c r="AA208" s="312">
        <f t="shared" si="111"/>
        <v>0</v>
      </c>
      <c r="AB208" s="948">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49">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6">
        <f t="shared" si="121"/>
        <v>0</v>
      </c>
      <c r="AE208" s="937">
        <f t="shared" si="118"/>
        <v>0</v>
      </c>
      <c r="AF208" s="937">
        <f t="shared" si="119"/>
        <v>0</v>
      </c>
      <c r="AG208" s="937">
        <f t="shared" si="120"/>
        <v>0</v>
      </c>
      <c r="AH208" s="1172">
        <f t="shared" si="116"/>
        <v>0</v>
      </c>
      <c r="AI208" s="937">
        <f t="shared" si="117"/>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108"/>
        <v>0</v>
      </c>
      <c r="N209" s="284">
        <f t="shared" si="109"/>
        <v>0</v>
      </c>
      <c r="O209" s="342">
        <v>0</v>
      </c>
      <c r="P209" s="343">
        <v>0</v>
      </c>
      <c r="Q209" s="343">
        <v>0</v>
      </c>
      <c r="R209" s="343">
        <v>0</v>
      </c>
      <c r="S209" s="343">
        <v>0</v>
      </c>
      <c r="T209" s="343">
        <v>0</v>
      </c>
      <c r="U209" s="343">
        <v>0</v>
      </c>
      <c r="V209" s="343">
        <v>0</v>
      </c>
      <c r="W209" s="343">
        <v>0</v>
      </c>
      <c r="X209" s="343">
        <v>0</v>
      </c>
      <c r="Y209" s="379">
        <v>0</v>
      </c>
      <c r="Z209" s="282">
        <f t="shared" si="110"/>
        <v>0</v>
      </c>
      <c r="AA209" s="284">
        <f t="shared" si="111"/>
        <v>0</v>
      </c>
      <c r="AB209" s="948">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49">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6">
        <f t="shared" si="121"/>
        <v>0</v>
      </c>
      <c r="AE209" s="937">
        <f t="shared" si="118"/>
        <v>0</v>
      </c>
      <c r="AF209" s="937">
        <f t="shared" si="119"/>
        <v>0</v>
      </c>
      <c r="AG209" s="937">
        <f t="shared" si="120"/>
        <v>0</v>
      </c>
      <c r="AH209" s="1172">
        <f t="shared" si="116"/>
        <v>0</v>
      </c>
      <c r="AI209" s="937">
        <f t="shared" si="117"/>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108"/>
        <v>0</v>
      </c>
      <c r="N210" s="298">
        <f t="shared" si="109"/>
        <v>0</v>
      </c>
      <c r="O210" s="344">
        <v>0</v>
      </c>
      <c r="P210" s="345">
        <v>0</v>
      </c>
      <c r="Q210" s="345">
        <v>0</v>
      </c>
      <c r="R210" s="345">
        <v>0</v>
      </c>
      <c r="S210" s="345">
        <v>0</v>
      </c>
      <c r="T210" s="345">
        <v>0</v>
      </c>
      <c r="U210" s="345">
        <v>0</v>
      </c>
      <c r="V210" s="345">
        <v>0</v>
      </c>
      <c r="W210" s="345">
        <v>0</v>
      </c>
      <c r="X210" s="345">
        <v>0</v>
      </c>
      <c r="Y210" s="380">
        <v>0</v>
      </c>
      <c r="Z210" s="296">
        <f t="shared" si="110"/>
        <v>0</v>
      </c>
      <c r="AA210" s="298">
        <f t="shared" si="111"/>
        <v>0</v>
      </c>
      <c r="AB210" s="948">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49">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6">
        <f t="shared" si="121"/>
        <v>0</v>
      </c>
      <c r="AE210" s="937">
        <f t="shared" si="118"/>
        <v>0</v>
      </c>
      <c r="AF210" s="937">
        <f t="shared" si="119"/>
        <v>0</v>
      </c>
      <c r="AG210" s="937">
        <f t="shared" si="120"/>
        <v>0</v>
      </c>
      <c r="AH210" s="1172">
        <f t="shared" si="116"/>
        <v>0</v>
      </c>
      <c r="AI210" s="937">
        <f t="shared" si="117"/>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108"/>
        <v>0</v>
      </c>
      <c r="N211" s="298">
        <f t="shared" si="109"/>
        <v>0</v>
      </c>
      <c r="O211" s="344">
        <v>0</v>
      </c>
      <c r="P211" s="345">
        <v>0</v>
      </c>
      <c r="Q211" s="345">
        <v>0</v>
      </c>
      <c r="R211" s="345">
        <v>0</v>
      </c>
      <c r="S211" s="345">
        <v>0</v>
      </c>
      <c r="T211" s="345">
        <v>0</v>
      </c>
      <c r="U211" s="345">
        <v>0</v>
      </c>
      <c r="V211" s="345">
        <v>0</v>
      </c>
      <c r="W211" s="345">
        <v>0</v>
      </c>
      <c r="X211" s="345">
        <v>0</v>
      </c>
      <c r="Y211" s="380">
        <v>0</v>
      </c>
      <c r="Z211" s="296">
        <f t="shared" si="110"/>
        <v>0</v>
      </c>
      <c r="AA211" s="298">
        <f t="shared" si="111"/>
        <v>0</v>
      </c>
      <c r="AB211" s="948">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49">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6">
        <f t="shared" si="121"/>
        <v>0</v>
      </c>
      <c r="AE211" s="937">
        <f t="shared" si="118"/>
        <v>0</v>
      </c>
      <c r="AF211" s="937">
        <f t="shared" si="119"/>
        <v>0</v>
      </c>
      <c r="AG211" s="937">
        <f t="shared" si="120"/>
        <v>0</v>
      </c>
      <c r="AH211" s="1172">
        <f t="shared" si="116"/>
        <v>0</v>
      </c>
      <c r="AI211" s="937">
        <f t="shared" si="117"/>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108"/>
        <v>0</v>
      </c>
      <c r="N212" s="298">
        <f t="shared" si="109"/>
        <v>0</v>
      </c>
      <c r="O212" s="344">
        <v>0</v>
      </c>
      <c r="P212" s="345">
        <v>0</v>
      </c>
      <c r="Q212" s="345">
        <v>0</v>
      </c>
      <c r="R212" s="345">
        <v>0</v>
      </c>
      <c r="S212" s="345">
        <v>0</v>
      </c>
      <c r="T212" s="345">
        <v>0</v>
      </c>
      <c r="U212" s="345">
        <v>0</v>
      </c>
      <c r="V212" s="345">
        <v>0</v>
      </c>
      <c r="W212" s="345">
        <v>0</v>
      </c>
      <c r="X212" s="345">
        <v>0</v>
      </c>
      <c r="Y212" s="380">
        <v>0</v>
      </c>
      <c r="Z212" s="296">
        <f t="shared" si="110"/>
        <v>0</v>
      </c>
      <c r="AA212" s="298">
        <f t="shared" si="111"/>
        <v>0</v>
      </c>
      <c r="AB212" s="948">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49">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6">
        <f t="shared" si="121"/>
        <v>0</v>
      </c>
      <c r="AE212" s="937">
        <f t="shared" si="118"/>
        <v>0</v>
      </c>
      <c r="AF212" s="937">
        <f t="shared" si="119"/>
        <v>0</v>
      </c>
      <c r="AG212" s="937">
        <f t="shared" si="120"/>
        <v>0</v>
      </c>
      <c r="AH212" s="1172">
        <f t="shared" si="116"/>
        <v>0</v>
      </c>
      <c r="AI212" s="937">
        <f t="shared" si="117"/>
        <v>0</v>
      </c>
      <c r="AJ212" s="227"/>
      <c r="AK212" s="227"/>
      <c r="AL212" s="227"/>
      <c r="AM212" s="227"/>
    </row>
    <row r="213" spans="1:39" ht="13.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8"/>
        <v>0</v>
      </c>
      <c r="N213" s="312">
        <f t="shared" si="109"/>
        <v>0</v>
      </c>
      <c r="O213" s="346">
        <v>0</v>
      </c>
      <c r="P213" s="347">
        <v>0</v>
      </c>
      <c r="Q213" s="347">
        <v>0</v>
      </c>
      <c r="R213" s="347">
        <v>0</v>
      </c>
      <c r="S213" s="347">
        <v>0</v>
      </c>
      <c r="T213" s="347">
        <v>0</v>
      </c>
      <c r="U213" s="347">
        <v>0</v>
      </c>
      <c r="V213" s="347">
        <v>0</v>
      </c>
      <c r="W213" s="347">
        <v>0</v>
      </c>
      <c r="X213" s="347">
        <v>0</v>
      </c>
      <c r="Y213" s="381">
        <v>0</v>
      </c>
      <c r="Z213" s="310">
        <f t="shared" si="110"/>
        <v>0</v>
      </c>
      <c r="AA213" s="312">
        <f t="shared" si="111"/>
        <v>0</v>
      </c>
      <c r="AB213" s="948">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49">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6">
        <f t="shared" si="121"/>
        <v>0</v>
      </c>
      <c r="AE213" s="937">
        <f t="shared" si="118"/>
        <v>0</v>
      </c>
      <c r="AF213" s="937">
        <f t="shared" si="119"/>
        <v>0</v>
      </c>
      <c r="AG213" s="937">
        <f t="shared" si="120"/>
        <v>0</v>
      </c>
      <c r="AH213" s="1172">
        <f t="shared" si="116"/>
        <v>0</v>
      </c>
      <c r="AI213" s="937">
        <f t="shared" si="117"/>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108"/>
        <v>0</v>
      </c>
      <c r="N214" s="284">
        <f t="shared" si="109"/>
        <v>0</v>
      </c>
      <c r="O214" s="342">
        <v>0</v>
      </c>
      <c r="P214" s="343">
        <v>0</v>
      </c>
      <c r="Q214" s="343">
        <v>0</v>
      </c>
      <c r="R214" s="343">
        <v>0</v>
      </c>
      <c r="S214" s="343">
        <v>0</v>
      </c>
      <c r="T214" s="343">
        <v>0</v>
      </c>
      <c r="U214" s="343">
        <v>0</v>
      </c>
      <c r="V214" s="343">
        <v>0</v>
      </c>
      <c r="W214" s="343">
        <v>0</v>
      </c>
      <c r="X214" s="343">
        <v>0</v>
      </c>
      <c r="Y214" s="379">
        <v>0</v>
      </c>
      <c r="Z214" s="282">
        <f t="shared" si="110"/>
        <v>0</v>
      </c>
      <c r="AA214" s="284">
        <f t="shared" si="111"/>
        <v>0</v>
      </c>
      <c r="AB214" s="948">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49">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6">
        <f t="shared" si="121"/>
        <v>0</v>
      </c>
      <c r="AE214" s="937">
        <f t="shared" si="118"/>
        <v>0</v>
      </c>
      <c r="AF214" s="937">
        <f t="shared" si="119"/>
        <v>0</v>
      </c>
      <c r="AG214" s="937">
        <f t="shared" si="120"/>
        <v>0</v>
      </c>
      <c r="AH214" s="1172">
        <f t="shared" si="116"/>
        <v>0</v>
      </c>
      <c r="AI214" s="937">
        <f t="shared" si="117"/>
        <v>0</v>
      </c>
      <c r="AJ214" s="227"/>
      <c r="AK214" s="227"/>
      <c r="AL214" s="227"/>
      <c r="AM214" s="227"/>
    </row>
    <row r="215" spans="1:39" x14ac:dyDescent="0.2">
      <c r="A215" s="330">
        <v>2042</v>
      </c>
      <c r="B215" s="344">
        <v>0</v>
      </c>
      <c r="C215" s="345">
        <v>0</v>
      </c>
      <c r="D215" s="345">
        <v>0</v>
      </c>
      <c r="E215" s="345">
        <v>0</v>
      </c>
      <c r="F215" s="345">
        <v>0</v>
      </c>
      <c r="G215" s="345">
        <v>0</v>
      </c>
      <c r="H215" s="345">
        <v>0</v>
      </c>
      <c r="I215" s="345">
        <v>0</v>
      </c>
      <c r="J215" s="345">
        <v>0</v>
      </c>
      <c r="K215" s="345">
        <v>0</v>
      </c>
      <c r="L215" s="380">
        <v>0</v>
      </c>
      <c r="M215" s="296">
        <f t="shared" si="108"/>
        <v>0</v>
      </c>
      <c r="N215" s="298">
        <f t="shared" si="109"/>
        <v>0</v>
      </c>
      <c r="O215" s="344">
        <v>0</v>
      </c>
      <c r="P215" s="345">
        <v>0</v>
      </c>
      <c r="Q215" s="345">
        <v>0</v>
      </c>
      <c r="R215" s="345">
        <v>0</v>
      </c>
      <c r="S215" s="345">
        <v>0</v>
      </c>
      <c r="T215" s="345">
        <v>0</v>
      </c>
      <c r="U215" s="345">
        <v>0</v>
      </c>
      <c r="V215" s="345">
        <v>0</v>
      </c>
      <c r="W215" s="345">
        <v>0</v>
      </c>
      <c r="X215" s="345">
        <v>0</v>
      </c>
      <c r="Y215" s="380">
        <v>0</v>
      </c>
      <c r="Z215" s="296">
        <f t="shared" si="110"/>
        <v>0</v>
      </c>
      <c r="AA215" s="298">
        <f t="shared" si="111"/>
        <v>0</v>
      </c>
      <c r="AB215" s="948">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49">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6">
        <f t="shared" si="121"/>
        <v>0</v>
      </c>
      <c r="AE215" s="937">
        <f t="shared" si="118"/>
        <v>0</v>
      </c>
      <c r="AF215" s="937">
        <f t="shared" si="119"/>
        <v>0</v>
      </c>
      <c r="AG215" s="937">
        <f t="shared" si="120"/>
        <v>0</v>
      </c>
      <c r="AH215" s="1172">
        <f t="shared" si="116"/>
        <v>0</v>
      </c>
      <c r="AI215" s="937">
        <f t="shared" si="117"/>
        <v>0</v>
      </c>
      <c r="AJ215" s="227"/>
      <c r="AK215" s="227"/>
      <c r="AL215" s="227"/>
      <c r="AM215" s="227"/>
    </row>
    <row r="216" spans="1:39" x14ac:dyDescent="0.2">
      <c r="A216" s="330">
        <v>2043</v>
      </c>
      <c r="B216" s="344">
        <v>0</v>
      </c>
      <c r="C216" s="345">
        <v>0</v>
      </c>
      <c r="D216" s="345">
        <v>0</v>
      </c>
      <c r="E216" s="345">
        <v>0</v>
      </c>
      <c r="F216" s="345">
        <v>0</v>
      </c>
      <c r="G216" s="345">
        <v>0</v>
      </c>
      <c r="H216" s="345">
        <v>0</v>
      </c>
      <c r="I216" s="345">
        <v>0</v>
      </c>
      <c r="J216" s="345">
        <v>0</v>
      </c>
      <c r="K216" s="345">
        <v>0</v>
      </c>
      <c r="L216" s="380">
        <v>0</v>
      </c>
      <c r="M216" s="296">
        <f t="shared" si="108"/>
        <v>0</v>
      </c>
      <c r="N216" s="298">
        <f t="shared" si="109"/>
        <v>0</v>
      </c>
      <c r="O216" s="344">
        <v>0</v>
      </c>
      <c r="P216" s="345">
        <v>0</v>
      </c>
      <c r="Q216" s="345">
        <v>0</v>
      </c>
      <c r="R216" s="345">
        <v>0</v>
      </c>
      <c r="S216" s="345">
        <v>0</v>
      </c>
      <c r="T216" s="345">
        <v>0</v>
      </c>
      <c r="U216" s="345">
        <v>0</v>
      </c>
      <c r="V216" s="345">
        <v>0</v>
      </c>
      <c r="W216" s="345">
        <v>0</v>
      </c>
      <c r="X216" s="345">
        <v>0</v>
      </c>
      <c r="Y216" s="380">
        <v>0</v>
      </c>
      <c r="Z216" s="296">
        <f t="shared" si="110"/>
        <v>0</v>
      </c>
      <c r="AA216" s="298">
        <f t="shared" si="111"/>
        <v>0</v>
      </c>
      <c r="AB216" s="948">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49">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6">
        <f t="shared" si="121"/>
        <v>0</v>
      </c>
      <c r="AE216" s="937">
        <f t="shared" si="118"/>
        <v>0</v>
      </c>
      <c r="AF216" s="937">
        <f t="shared" si="119"/>
        <v>0</v>
      </c>
      <c r="AG216" s="937">
        <f t="shared" si="120"/>
        <v>0</v>
      </c>
      <c r="AH216" s="1172">
        <f t="shared" si="116"/>
        <v>0</v>
      </c>
      <c r="AI216" s="937">
        <f t="shared" si="117"/>
        <v>0</v>
      </c>
      <c r="AJ216" s="227"/>
      <c r="AK216" s="227"/>
      <c r="AL216" s="227"/>
      <c r="AM216" s="227"/>
    </row>
    <row r="217" spans="1:39" x14ac:dyDescent="0.2">
      <c r="A217" s="330">
        <v>2044</v>
      </c>
      <c r="B217" s="344">
        <v>0</v>
      </c>
      <c r="C217" s="345">
        <v>0</v>
      </c>
      <c r="D217" s="345">
        <v>0</v>
      </c>
      <c r="E217" s="345">
        <v>0</v>
      </c>
      <c r="F217" s="345">
        <v>0</v>
      </c>
      <c r="G217" s="345">
        <v>0</v>
      </c>
      <c r="H217" s="345">
        <v>0</v>
      </c>
      <c r="I217" s="345">
        <v>0</v>
      </c>
      <c r="J217" s="345">
        <v>0</v>
      </c>
      <c r="K217" s="345">
        <v>0</v>
      </c>
      <c r="L217" s="380">
        <v>0</v>
      </c>
      <c r="M217" s="296">
        <f t="shared" si="108"/>
        <v>0</v>
      </c>
      <c r="N217" s="298">
        <f t="shared" si="109"/>
        <v>0</v>
      </c>
      <c r="O217" s="344">
        <v>0</v>
      </c>
      <c r="P217" s="345">
        <v>0</v>
      </c>
      <c r="Q217" s="345">
        <v>0</v>
      </c>
      <c r="R217" s="345">
        <v>0</v>
      </c>
      <c r="S217" s="345">
        <v>0</v>
      </c>
      <c r="T217" s="345">
        <v>0</v>
      </c>
      <c r="U217" s="345">
        <v>0</v>
      </c>
      <c r="V217" s="345">
        <v>0</v>
      </c>
      <c r="W217" s="345">
        <v>0</v>
      </c>
      <c r="X217" s="345">
        <v>0</v>
      </c>
      <c r="Y217" s="380">
        <v>0</v>
      </c>
      <c r="Z217" s="296">
        <f t="shared" si="110"/>
        <v>0</v>
      </c>
      <c r="AA217" s="298">
        <f t="shared" si="111"/>
        <v>0</v>
      </c>
      <c r="AB217" s="948">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49">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6">
        <f t="shared" si="121"/>
        <v>0</v>
      </c>
      <c r="AE217" s="937">
        <f t="shared" si="118"/>
        <v>0</v>
      </c>
      <c r="AF217" s="937">
        <f t="shared" si="119"/>
        <v>0</v>
      </c>
      <c r="AG217" s="937">
        <f t="shared" si="120"/>
        <v>0</v>
      </c>
      <c r="AH217" s="1172">
        <f t="shared" si="116"/>
        <v>0</v>
      </c>
      <c r="AI217" s="937">
        <f t="shared" si="117"/>
        <v>0</v>
      </c>
      <c r="AJ217" s="227"/>
      <c r="AK217" s="227"/>
      <c r="AL217" s="227"/>
      <c r="AM217" s="227"/>
    </row>
    <row r="218" spans="1:39" ht="13.5" thickBot="1" x14ac:dyDescent="0.25">
      <c r="A218" s="328">
        <v>2045</v>
      </c>
      <c r="B218" s="346">
        <v>0</v>
      </c>
      <c r="C218" s="347">
        <v>0</v>
      </c>
      <c r="D218" s="347">
        <v>0</v>
      </c>
      <c r="E218" s="347">
        <v>0</v>
      </c>
      <c r="F218" s="347">
        <v>5.2972448346339608E-5</v>
      </c>
      <c r="G218" s="347">
        <v>1.1633678040610573E-3</v>
      </c>
      <c r="H218" s="347">
        <v>4.7580501403097965E-3</v>
      </c>
      <c r="I218" s="347">
        <v>0</v>
      </c>
      <c r="J218" s="347">
        <v>0</v>
      </c>
      <c r="K218" s="347">
        <v>0</v>
      </c>
      <c r="L218" s="381">
        <v>0</v>
      </c>
      <c r="M218" s="310">
        <f t="shared" si="108"/>
        <v>3.9749097479407387E-4</v>
      </c>
      <c r="N218" s="312">
        <f t="shared" si="109"/>
        <v>3.6329444071035342E-4</v>
      </c>
      <c r="O218" s="346">
        <v>0</v>
      </c>
      <c r="P218" s="347">
        <v>0</v>
      </c>
      <c r="Q218" s="347">
        <v>0</v>
      </c>
      <c r="R218" s="347">
        <v>0</v>
      </c>
      <c r="S218" s="347">
        <v>4.4260344717666735E-4</v>
      </c>
      <c r="T218" s="347">
        <v>4.120396063875569E-3</v>
      </c>
      <c r="U218" s="347">
        <v>1.0849784654912363E-2</v>
      </c>
      <c r="V218" s="347">
        <v>0</v>
      </c>
      <c r="W218" s="347">
        <v>0</v>
      </c>
      <c r="X218" s="347">
        <v>0</v>
      </c>
      <c r="Y218" s="381">
        <v>0</v>
      </c>
      <c r="Z218" s="310">
        <f t="shared" si="110"/>
        <v>3.370623597617012E-3</v>
      </c>
      <c r="AA218" s="312">
        <f t="shared" si="111"/>
        <v>3.122173128291052E-3</v>
      </c>
      <c r="AB218" s="948">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49">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6">
        <f t="shared" si="121"/>
        <v>0</v>
      </c>
      <c r="AE218" s="937">
        <f t="shared" si="118"/>
        <v>3.9749097479407387E-4</v>
      </c>
      <c r="AF218" s="937">
        <f t="shared" si="119"/>
        <v>3.370623597617012E-3</v>
      </c>
      <c r="AG218" s="937">
        <f t="shared" si="120"/>
        <v>3.7681145724110859E-3</v>
      </c>
      <c r="AH218" s="1172">
        <f t="shared" si="116"/>
        <v>0.10548802780689685</v>
      </c>
      <c r="AI218" s="937">
        <f t="shared" si="117"/>
        <v>0.89451197219310308</v>
      </c>
      <c r="AJ218" s="227"/>
      <c r="AK218" s="227"/>
      <c r="AL218" s="227"/>
      <c r="AM218" s="227"/>
    </row>
    <row r="219" spans="1:39" x14ac:dyDescent="0.2">
      <c r="A219" s="329">
        <v>2046</v>
      </c>
      <c r="B219" s="342">
        <v>0</v>
      </c>
      <c r="C219" s="343">
        <v>0</v>
      </c>
      <c r="D219" s="343">
        <v>0</v>
      </c>
      <c r="E219" s="343">
        <v>4.9511178200135051E-4</v>
      </c>
      <c r="F219" s="343">
        <v>7.1038336931335032E-3</v>
      </c>
      <c r="G219" s="343">
        <v>2.4695778208675332E-2</v>
      </c>
      <c r="H219" s="343">
        <v>4.2622572497918738E-2</v>
      </c>
      <c r="I219" s="343">
        <v>0</v>
      </c>
      <c r="J219" s="343">
        <v>0</v>
      </c>
      <c r="K219" s="343">
        <v>0</v>
      </c>
      <c r="L219" s="379">
        <v>0</v>
      </c>
      <c r="M219" s="282">
        <f t="shared" si="108"/>
        <v>4.1891396626148681E-3</v>
      </c>
      <c r="N219" s="284">
        <f t="shared" si="109"/>
        <v>3.9582503757275341E-3</v>
      </c>
      <c r="O219" s="342">
        <v>0</v>
      </c>
      <c r="P219" s="343">
        <v>0</v>
      </c>
      <c r="Q219" s="343">
        <v>0</v>
      </c>
      <c r="R219" s="343">
        <v>1.758715566928367E-3</v>
      </c>
      <c r="S219" s="343">
        <v>1.4262665981472139E-2</v>
      </c>
      <c r="T219" s="343">
        <v>3.8462498487778905E-2</v>
      </c>
      <c r="U219" s="343">
        <v>5.7150431845572572E-2</v>
      </c>
      <c r="V219" s="343">
        <v>0</v>
      </c>
      <c r="W219" s="343">
        <v>0</v>
      </c>
      <c r="X219" s="343">
        <v>0</v>
      </c>
      <c r="Y219" s="379">
        <v>0</v>
      </c>
      <c r="Z219" s="282">
        <f t="shared" si="110"/>
        <v>2.1852749861874115E-2</v>
      </c>
      <c r="AA219" s="284">
        <f t="shared" si="111"/>
        <v>2.0887022731324031E-2</v>
      </c>
      <c r="AB219" s="948">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49">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6">
        <f t="shared" si="121"/>
        <v>0</v>
      </c>
      <c r="AE219" s="937">
        <f t="shared" si="118"/>
        <v>4.1891396626148681E-3</v>
      </c>
      <c r="AF219" s="937">
        <f t="shared" si="119"/>
        <v>2.1852749861874115E-2</v>
      </c>
      <c r="AG219" s="937">
        <f t="shared" si="120"/>
        <v>2.6041889524488982E-2</v>
      </c>
      <c r="AH219" s="1172">
        <f t="shared" si="116"/>
        <v>0.16086158643271761</v>
      </c>
      <c r="AI219" s="937">
        <f t="shared" si="117"/>
        <v>0.83913841356728236</v>
      </c>
      <c r="AJ219" s="227"/>
      <c r="AK219" s="227"/>
      <c r="AL219" s="227"/>
      <c r="AM219" s="227"/>
    </row>
    <row r="220" spans="1:39" x14ac:dyDescent="0.2">
      <c r="A220" s="330">
        <v>2047</v>
      </c>
      <c r="B220" s="344">
        <v>0</v>
      </c>
      <c r="C220" s="345">
        <v>0</v>
      </c>
      <c r="D220" s="345">
        <v>1.1648766691194332E-4</v>
      </c>
      <c r="E220" s="345">
        <v>9.4170836553285429E-3</v>
      </c>
      <c r="F220" s="345">
        <v>3.8096011162776333E-2</v>
      </c>
      <c r="G220" s="345">
        <v>7.2058775196255809E-2</v>
      </c>
      <c r="H220" s="345">
        <v>9.1848777392499636E-2</v>
      </c>
      <c r="I220" s="345">
        <v>0</v>
      </c>
      <c r="J220" s="345">
        <v>0</v>
      </c>
      <c r="K220" s="345">
        <v>0</v>
      </c>
      <c r="L220" s="380">
        <v>0</v>
      </c>
      <c r="M220" s="296">
        <f t="shared" si="108"/>
        <v>1.0492555353369026E-2</v>
      </c>
      <c r="N220" s="298">
        <f t="shared" si="109"/>
        <v>1.030459779567373E-2</v>
      </c>
      <c r="O220" s="344">
        <v>0</v>
      </c>
      <c r="P220" s="345">
        <v>0</v>
      </c>
      <c r="Q220" s="345">
        <v>1.1046267615900844E-3</v>
      </c>
      <c r="R220" s="345">
        <v>1.673786093511628E-2</v>
      </c>
      <c r="S220" s="345">
        <v>5.2717473199444427E-2</v>
      </c>
      <c r="T220" s="345">
        <v>8.6129648421724242E-2</v>
      </c>
      <c r="U220" s="345">
        <v>0.10826642038847548</v>
      </c>
      <c r="V220" s="345">
        <v>0</v>
      </c>
      <c r="W220" s="345">
        <v>0</v>
      </c>
      <c r="X220" s="345">
        <v>0</v>
      </c>
      <c r="Y220" s="380">
        <v>0</v>
      </c>
      <c r="Z220" s="296">
        <f t="shared" si="110"/>
        <v>4.6446192969177194E-2</v>
      </c>
      <c r="AA220" s="298">
        <f t="shared" si="111"/>
        <v>4.5485222046079778E-2</v>
      </c>
      <c r="AB220" s="948">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49">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6">
        <f t="shared" si="121"/>
        <v>0</v>
      </c>
      <c r="AE220" s="937">
        <f t="shared" si="118"/>
        <v>1.0492555353369026E-2</v>
      </c>
      <c r="AF220" s="937">
        <f t="shared" si="119"/>
        <v>4.6446192969177194E-2</v>
      </c>
      <c r="AG220" s="937">
        <f t="shared" si="120"/>
        <v>5.6938748322546223E-2</v>
      </c>
      <c r="AH220" s="1172">
        <f t="shared" si="116"/>
        <v>0.18427794186712484</v>
      </c>
      <c r="AI220" s="937">
        <f t="shared" si="117"/>
        <v>0.81572205813287513</v>
      </c>
      <c r="AJ220" s="227"/>
      <c r="AK220" s="227"/>
      <c r="AL220" s="227"/>
      <c r="AM220" s="227"/>
    </row>
    <row r="221" spans="1:39" x14ac:dyDescent="0.2">
      <c r="A221" s="330">
        <v>2048</v>
      </c>
      <c r="B221" s="344">
        <v>0</v>
      </c>
      <c r="C221" s="345">
        <v>0</v>
      </c>
      <c r="D221" s="345">
        <v>1.9464007207337134E-3</v>
      </c>
      <c r="E221" s="345">
        <v>3.0641751509119838E-2</v>
      </c>
      <c r="F221" s="345">
        <v>7.2243814915687043E-2</v>
      </c>
      <c r="G221" s="345">
        <v>0.10524931751102293</v>
      </c>
      <c r="H221" s="345">
        <v>0.12863434935204435</v>
      </c>
      <c r="I221" s="345">
        <v>0</v>
      </c>
      <c r="J221" s="345">
        <v>0</v>
      </c>
      <c r="K221" s="345">
        <v>0</v>
      </c>
      <c r="L221" s="380">
        <v>0</v>
      </c>
      <c r="M221" s="296">
        <f t="shared" si="108"/>
        <v>1.5814342197739126E-2</v>
      </c>
      <c r="N221" s="298">
        <f t="shared" si="109"/>
        <v>1.59255594405176E-2</v>
      </c>
      <c r="O221" s="344">
        <v>0</v>
      </c>
      <c r="P221" s="345">
        <v>0</v>
      </c>
      <c r="Q221" s="345">
        <v>6.9109371433937099E-3</v>
      </c>
      <c r="R221" s="345">
        <v>4.4759781115223385E-2</v>
      </c>
      <c r="S221" s="345">
        <v>8.6833202549702004E-2</v>
      </c>
      <c r="T221" s="345">
        <v>0.12229109566580358</v>
      </c>
      <c r="U221" s="345">
        <v>0.13934901084717766</v>
      </c>
      <c r="V221" s="345">
        <v>0</v>
      </c>
      <c r="W221" s="345">
        <v>0</v>
      </c>
      <c r="X221" s="345">
        <v>0</v>
      </c>
      <c r="Y221" s="380">
        <v>0</v>
      </c>
      <c r="Z221" s="296">
        <f t="shared" si="110"/>
        <v>6.4349369322467306E-2</v>
      </c>
      <c r="AA221" s="298">
        <f t="shared" si="111"/>
        <v>6.4109487332451712E-2</v>
      </c>
      <c r="AB221" s="948">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49">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6">
        <f t="shared" si="121"/>
        <v>0</v>
      </c>
      <c r="AE221" s="937">
        <f t="shared" si="118"/>
        <v>1.5814342197739126E-2</v>
      </c>
      <c r="AF221" s="937">
        <f t="shared" si="119"/>
        <v>6.4349369322467306E-2</v>
      </c>
      <c r="AG221" s="937">
        <f t="shared" si="120"/>
        <v>8.0163711520206432E-2</v>
      </c>
      <c r="AH221" s="1172">
        <f t="shared" si="116"/>
        <v>0.19727557392041273</v>
      </c>
      <c r="AI221" s="937">
        <f t="shared" si="117"/>
        <v>0.80272442607958727</v>
      </c>
      <c r="AJ221" s="227"/>
      <c r="AK221" s="227"/>
      <c r="AL221" s="227"/>
      <c r="AM221" s="227"/>
    </row>
    <row r="222" spans="1:39" x14ac:dyDescent="0.2">
      <c r="A222" s="330">
        <v>2049</v>
      </c>
      <c r="B222" s="344">
        <v>0</v>
      </c>
      <c r="C222" s="345">
        <v>0</v>
      </c>
      <c r="D222" s="345">
        <v>6.4038425401370053E-3</v>
      </c>
      <c r="E222" s="345">
        <v>5.0156124337649211E-2</v>
      </c>
      <c r="F222" s="345">
        <v>9.7736901611810839E-2</v>
      </c>
      <c r="G222" s="345">
        <v>0.13371217928255966</v>
      </c>
      <c r="H222" s="345">
        <v>0.15185387330901642</v>
      </c>
      <c r="I222" s="345">
        <v>0</v>
      </c>
      <c r="J222" s="345">
        <v>0</v>
      </c>
      <c r="K222" s="345">
        <v>0</v>
      </c>
      <c r="L222" s="380">
        <v>0</v>
      </c>
      <c r="M222" s="296">
        <f t="shared" si="108"/>
        <v>1.9648129189883914E-2</v>
      </c>
      <c r="N222" s="298">
        <f t="shared" si="109"/>
        <v>2.0074704394229342E-2</v>
      </c>
      <c r="O222" s="344">
        <v>0</v>
      </c>
      <c r="P222" s="345">
        <v>0</v>
      </c>
      <c r="Q222" s="345">
        <v>1.6958594994440954E-2</v>
      </c>
      <c r="R222" s="345">
        <v>6.3839254127094167E-2</v>
      </c>
      <c r="S222" s="345">
        <v>0.11505426183808033</v>
      </c>
      <c r="T222" s="345">
        <v>0.14554434217612405</v>
      </c>
      <c r="U222" s="345">
        <v>0.16255179286631466</v>
      </c>
      <c r="V222" s="345">
        <v>0</v>
      </c>
      <c r="W222" s="345">
        <v>0</v>
      </c>
      <c r="X222" s="345">
        <v>0</v>
      </c>
      <c r="Y222" s="380">
        <v>0</v>
      </c>
      <c r="Z222" s="296">
        <f t="shared" si="110"/>
        <v>7.7265793919763195E-2</v>
      </c>
      <c r="AA222" s="298">
        <f t="shared" si="111"/>
        <v>7.7642996845539991E-2</v>
      </c>
      <c r="AB222" s="948">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49">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6">
        <f t="shared" si="121"/>
        <v>0</v>
      </c>
      <c r="AE222" s="937">
        <f t="shared" si="118"/>
        <v>1.9648129189883914E-2</v>
      </c>
      <c r="AF222" s="937">
        <f t="shared" si="119"/>
        <v>7.7265793919763195E-2</v>
      </c>
      <c r="AG222" s="937">
        <f t="shared" si="120"/>
        <v>9.691392310964711E-2</v>
      </c>
      <c r="AH222" s="1172">
        <f t="shared" si="116"/>
        <v>0.20273794063268169</v>
      </c>
      <c r="AI222" s="937">
        <f t="shared" si="117"/>
        <v>0.79726205936731831</v>
      </c>
      <c r="AJ222" s="227"/>
      <c r="AK222" s="227"/>
      <c r="AL222" s="227"/>
      <c r="AM222" s="227"/>
    </row>
    <row r="223" spans="1:39" ht="13.5" thickBot="1" x14ac:dyDescent="0.25">
      <c r="A223" s="328">
        <v>2050</v>
      </c>
      <c r="B223" s="346">
        <v>0</v>
      </c>
      <c r="C223" s="347">
        <v>0</v>
      </c>
      <c r="D223" s="347">
        <v>2.5051902511419314E-2</v>
      </c>
      <c r="E223" s="347">
        <v>9.0544943869509828E-2</v>
      </c>
      <c r="F223" s="347">
        <v>0.13619254723588883</v>
      </c>
      <c r="G223" s="347">
        <v>0.16735816110141796</v>
      </c>
      <c r="H223" s="347">
        <v>0.17823840004480923</v>
      </c>
      <c r="I223" s="347">
        <v>0</v>
      </c>
      <c r="J223" s="347">
        <v>0</v>
      </c>
      <c r="K223" s="347">
        <v>0</v>
      </c>
      <c r="L223" s="381">
        <v>0</v>
      </c>
      <c r="M223" s="310">
        <f t="shared" si="108"/>
        <v>2.4780568278231357E-2</v>
      </c>
      <c r="N223" s="312">
        <f t="shared" si="109"/>
        <v>2.5924307554280636E-2</v>
      </c>
      <c r="O223" s="346">
        <v>0</v>
      </c>
      <c r="P223" s="347">
        <v>0</v>
      </c>
      <c r="Q223" s="347">
        <v>4.5295918295958477E-2</v>
      </c>
      <c r="R223" s="347">
        <v>0.11013122485599736</v>
      </c>
      <c r="S223" s="347">
        <v>0.14712061110257035</v>
      </c>
      <c r="T223" s="347">
        <v>0.17865715626952705</v>
      </c>
      <c r="U223" s="347">
        <v>0.18818117250897967</v>
      </c>
      <c r="V223" s="347">
        <v>0</v>
      </c>
      <c r="W223" s="347">
        <v>0</v>
      </c>
      <c r="X223" s="347">
        <v>0</v>
      </c>
      <c r="Y223" s="381">
        <v>0</v>
      </c>
      <c r="Z223" s="310">
        <f t="shared" si="110"/>
        <v>9.4085990337260894E-2</v>
      </c>
      <c r="AA223" s="312">
        <f t="shared" si="111"/>
        <v>9.5967882487768288E-2</v>
      </c>
      <c r="AB223" s="950">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1">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7">
        <f t="shared" si="121"/>
        <v>0</v>
      </c>
      <c r="AE223" s="937">
        <f t="shared" si="118"/>
        <v>2.4780568278231357E-2</v>
      </c>
      <c r="AF223" s="937">
        <f t="shared" si="119"/>
        <v>9.4085990337260894E-2</v>
      </c>
      <c r="AG223" s="937">
        <f t="shared" si="120"/>
        <v>0.11886655861549225</v>
      </c>
      <c r="AH223" s="1172">
        <f t="shared" si="116"/>
        <v>0.20847384299558269</v>
      </c>
      <c r="AI223" s="937">
        <f t="shared" si="117"/>
        <v>0.79152615700441731</v>
      </c>
      <c r="AJ223" s="227"/>
      <c r="AK223" s="227"/>
      <c r="AL223" s="227"/>
      <c r="AM223" s="227"/>
    </row>
    <row r="224" spans="1:39" x14ac:dyDescent="0.2">
      <c r="B224" s="227" t="str">
        <f>B$120</f>
        <v>Output generated: 8/27/2020 18:37</v>
      </c>
      <c r="U224" s="227" t="str">
        <f>U$120</f>
        <v>Output generated: 8/27/2020 18:37</v>
      </c>
      <c r="AC224" s="937"/>
      <c r="AE224" s="937"/>
      <c r="AF224" s="937"/>
      <c r="AG224" s="937"/>
      <c r="AH224" s="937"/>
      <c r="AI224" s="937"/>
      <c r="AJ224" s="227"/>
      <c r="AK224" s="227"/>
      <c r="AL224" s="227"/>
      <c r="AM224" s="227"/>
    </row>
    <row r="225" spans="1:39" x14ac:dyDescent="0.2">
      <c r="AE225" s="937"/>
      <c r="AF225" s="937"/>
      <c r="AG225" s="937"/>
      <c r="AH225" s="937"/>
      <c r="AI225" s="937"/>
    </row>
    <row r="226" spans="1:39" ht="13.5" thickBot="1" x14ac:dyDescent="0.25">
      <c r="AE226" s="937"/>
      <c r="AF226" s="937"/>
      <c r="AG226" s="937"/>
      <c r="AH226" s="937"/>
      <c r="AI226" s="937"/>
    </row>
    <row r="227" spans="1:39" ht="15" x14ac:dyDescent="0.25">
      <c r="A227" s="333"/>
      <c r="B227" s="613" t="s">
        <v>213</v>
      </c>
      <c r="C227" s="614"/>
      <c r="D227" s="614"/>
      <c r="E227" s="614"/>
      <c r="F227" s="614"/>
      <c r="G227" s="614"/>
      <c r="H227" s="614"/>
      <c r="I227" s="614"/>
      <c r="J227" s="614"/>
      <c r="K227" s="614"/>
      <c r="L227" s="614"/>
      <c r="M227" s="614"/>
      <c r="N227" s="615"/>
      <c r="O227" s="613" t="s">
        <v>212</v>
      </c>
      <c r="P227" s="614"/>
      <c r="Q227" s="614"/>
      <c r="R227" s="614"/>
      <c r="S227" s="614"/>
      <c r="T227" s="614"/>
      <c r="U227" s="614"/>
      <c r="V227" s="614"/>
      <c r="W227" s="614"/>
      <c r="X227" s="614"/>
      <c r="Y227" s="614"/>
      <c r="Z227" s="614"/>
      <c r="AA227" s="615"/>
      <c r="AE227" s="937"/>
      <c r="AF227" s="937"/>
      <c r="AG227" s="937"/>
      <c r="AH227" s="937"/>
      <c r="AI227" s="937"/>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7"/>
      <c r="AF228" s="937"/>
      <c r="AG228" s="937"/>
      <c r="AH228" s="937"/>
      <c r="AI228" s="937"/>
    </row>
    <row r="229" spans="1:39" ht="13.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3" t="s">
        <v>267</v>
      </c>
      <c r="AD229" s="234" t="b">
        <f>INDEX(TECH_OPT_FUEL2_Cls1,MATCH(RIGHT(O227),TECH_OPT_ROWS_Cls1,0))&lt;&gt;"N/A"</f>
        <v>0</v>
      </c>
      <c r="AE229" s="937"/>
      <c r="AF229" s="937"/>
      <c r="AG229" s="937"/>
      <c r="AH229" s="937"/>
      <c r="AI229" s="937"/>
    </row>
    <row r="230" spans="1:39" ht="14.25"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6"/>
      <c r="AC230" s="903" t="s">
        <v>268</v>
      </c>
      <c r="AD230" s="234">
        <f>MATCH(RIGHT(O227),TECH_OPT_ROWS_Cls1,0)</f>
        <v>5</v>
      </c>
      <c r="AE230" s="937"/>
      <c r="AF230" s="937"/>
      <c r="AG230" s="937"/>
      <c r="AH230" s="937"/>
      <c r="AI230" s="937"/>
    </row>
    <row r="231" spans="1:39" x14ac:dyDescent="0.2">
      <c r="A231" s="331" t="s">
        <v>125</v>
      </c>
      <c r="B231" s="938">
        <f t="array" ref="B231:L231">TRANSPOSE(Cls1CentVMTShr)</f>
        <v>8.9762242961142352E-4</v>
      </c>
      <c r="C231" s="939">
        <v>1.2044238150123706E-3</v>
      </c>
      <c r="D231" s="939">
        <v>4.1499109643594731E-3</v>
      </c>
      <c r="E231" s="939">
        <v>1.9575808105519295E-2</v>
      </c>
      <c r="F231" s="939">
        <v>3.4523467949689302E-2</v>
      </c>
      <c r="G231" s="939">
        <v>2.7311948935134379E-2</v>
      </c>
      <c r="H231" s="939">
        <v>7.6478458482655817E-2</v>
      </c>
      <c r="I231" s="939">
        <v>3.2480526319280681E-2</v>
      </c>
      <c r="J231" s="939">
        <v>1.1772940427842455E-2</v>
      </c>
      <c r="K231" s="939">
        <v>6.0339283082965706E-3</v>
      </c>
      <c r="L231" s="940">
        <v>1.5952440951210019E-2</v>
      </c>
      <c r="M231" s="388"/>
      <c r="N231" s="334"/>
      <c r="O231" s="938">
        <f t="array" ref="O231:Y231">TRANSPOSE(Cls1NCentVMTShr)</f>
        <v>1.3589913425833078E-3</v>
      </c>
      <c r="P231" s="939">
        <v>5.8692629772239642E-3</v>
      </c>
      <c r="Q231" s="939">
        <v>1.2100393581509007E-2</v>
      </c>
      <c r="R231" s="939">
        <v>3.6555003327388577E-2</v>
      </c>
      <c r="S231" s="939">
        <v>8.3148735051829181E-2</v>
      </c>
      <c r="T231" s="939">
        <v>0.18151138394047112</v>
      </c>
      <c r="U231" s="939">
        <v>0.2383386372324876</v>
      </c>
      <c r="V231" s="939">
        <v>9.5602564448196578E-2</v>
      </c>
      <c r="W231" s="939">
        <v>2.9193025028929166E-2</v>
      </c>
      <c r="X231" s="939">
        <v>3.5209492159336005E-2</v>
      </c>
      <c r="Y231" s="940">
        <v>5.0731034221433824E-2</v>
      </c>
      <c r="Z231" s="388"/>
      <c r="AA231" s="334"/>
      <c r="AB231" s="1551" t="str">
        <f>"% of miles on f2 for Tech "&amp; RIGHT(O227)&amp;" adopters"</f>
        <v>% of miles on f2 for Tech D adopters</v>
      </c>
      <c r="AC231" s="1552"/>
      <c r="AD231" s="1553"/>
      <c r="AE231" s="937" t="s">
        <v>301</v>
      </c>
      <c r="AF231" s="937"/>
      <c r="AG231" s="937"/>
      <c r="AH231" s="1172" t="s">
        <v>310</v>
      </c>
      <c r="AI231" s="937"/>
    </row>
    <row r="232" spans="1:39" ht="13.5" thickBot="1" x14ac:dyDescent="0.25">
      <c r="A232" s="942" t="s">
        <v>266</v>
      </c>
      <c r="B232" s="933">
        <f t="array" ref="B232:L232">TRANSPOSE(Cls1CentVMT/OPDAYS_Cls1)</f>
        <v>51.642967609234425</v>
      </c>
      <c r="C232" s="934">
        <v>110.97733417848234</v>
      </c>
      <c r="D232" s="934">
        <v>204.40224583551472</v>
      </c>
      <c r="E232" s="934">
        <v>290.24610572847212</v>
      </c>
      <c r="F232" s="934">
        <v>364.75750419264841</v>
      </c>
      <c r="G232" s="934">
        <v>443.63126889109378</v>
      </c>
      <c r="H232" s="934">
        <v>506.78134229373978</v>
      </c>
      <c r="I232" s="934">
        <v>595.71283413609137</v>
      </c>
      <c r="J232" s="934">
        <v>682.23089916089702</v>
      </c>
      <c r="K232" s="934">
        <v>765.26438827532684</v>
      </c>
      <c r="L232" s="935">
        <v>970.27871027310334</v>
      </c>
      <c r="M232" s="931"/>
      <c r="N232" s="932"/>
      <c r="O232" s="933">
        <f t="array" ref="O232:Y232">TRANSPOSE(Cls1NCentVMT/OPDAYS_Cls1)</f>
        <v>47.924548633512046</v>
      </c>
      <c r="P232" s="934">
        <v>112.56389213862748</v>
      </c>
      <c r="Q232" s="934">
        <v>214.67280220238027</v>
      </c>
      <c r="R232" s="934">
        <v>288.30186744262801</v>
      </c>
      <c r="S232" s="934">
        <v>368.60089210549245</v>
      </c>
      <c r="T232" s="934">
        <v>447.31558789932524</v>
      </c>
      <c r="U232" s="934">
        <v>511.28831950097862</v>
      </c>
      <c r="V232" s="934">
        <v>595.73726658362273</v>
      </c>
      <c r="W232" s="934">
        <v>672.11099195240695</v>
      </c>
      <c r="X232" s="934">
        <v>757.0793017898726</v>
      </c>
      <c r="Y232" s="935">
        <v>896.16800791754974</v>
      </c>
      <c r="Z232" s="943"/>
      <c r="AA232" s="932"/>
      <c r="AB232" s="945" t="s">
        <v>186</v>
      </c>
      <c r="AC232" s="946" t="s">
        <v>15</v>
      </c>
      <c r="AD232" s="947" t="s">
        <v>18</v>
      </c>
      <c r="AE232" s="937" t="s">
        <v>186</v>
      </c>
      <c r="AF232" s="937" t="s">
        <v>15</v>
      </c>
      <c r="AG232" s="937" t="s">
        <v>18</v>
      </c>
      <c r="AH232" s="1172" t="s">
        <v>186</v>
      </c>
      <c r="AI232" s="937" t="s">
        <v>15</v>
      </c>
    </row>
    <row r="233" spans="1:39" ht="13.5" thickTop="1" x14ac:dyDescent="0.2">
      <c r="A233" s="941">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8">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49">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6">
        <f t="shared" ref="AD233:AD258" si="126">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8">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49">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6">
        <f t="shared" si="126"/>
        <v>0</v>
      </c>
      <c r="AE234" s="937">
        <f t="shared" si="127"/>
        <v>0</v>
      </c>
      <c r="AF234" s="937">
        <f t="shared" si="128"/>
        <v>0</v>
      </c>
      <c r="AG234" s="937">
        <f t="shared" si="129"/>
        <v>0</v>
      </c>
      <c r="AH234" s="1172">
        <f t="shared" ref="AH234:AH276" si="130">IF(AG234&gt;0,AE234/AG234,0)</f>
        <v>0</v>
      </c>
      <c r="AI234" s="937">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8">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49">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6">
        <f t="shared" si="126"/>
        <v>0</v>
      </c>
      <c r="AE235" s="937">
        <f t="shared" si="127"/>
        <v>0</v>
      </c>
      <c r="AF235" s="937">
        <f t="shared" si="128"/>
        <v>0</v>
      </c>
      <c r="AG235" s="937">
        <f t="shared" si="129"/>
        <v>0</v>
      </c>
      <c r="AH235" s="1172">
        <f t="shared" si="130"/>
        <v>0</v>
      </c>
      <c r="AI235" s="937">
        <f t="shared" si="131"/>
        <v>0</v>
      </c>
    </row>
    <row r="236" spans="1:39" ht="13.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8">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49">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6">
        <f t="shared" si="126"/>
        <v>0</v>
      </c>
      <c r="AE236" s="937">
        <f t="shared" si="127"/>
        <v>0</v>
      </c>
      <c r="AF236" s="937">
        <f t="shared" si="128"/>
        <v>0</v>
      </c>
      <c r="AG236" s="937">
        <f t="shared" si="129"/>
        <v>0</v>
      </c>
      <c r="AH236" s="1172">
        <f t="shared" si="130"/>
        <v>0</v>
      </c>
      <c r="AI236" s="937">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8">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49">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6">
        <f t="shared" si="126"/>
        <v>0</v>
      </c>
      <c r="AE237" s="937">
        <f t="shared" si="127"/>
        <v>0</v>
      </c>
      <c r="AF237" s="937">
        <f t="shared" si="128"/>
        <v>0</v>
      </c>
      <c r="AG237" s="937">
        <f t="shared" si="129"/>
        <v>0</v>
      </c>
      <c r="AH237" s="1172">
        <f t="shared" si="130"/>
        <v>0</v>
      </c>
      <c r="AI237" s="937">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8">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49">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6">
        <f t="shared" si="126"/>
        <v>0</v>
      </c>
      <c r="AE238" s="937">
        <f t="shared" si="127"/>
        <v>0</v>
      </c>
      <c r="AF238" s="937">
        <f t="shared" si="128"/>
        <v>0</v>
      </c>
      <c r="AG238" s="937">
        <f t="shared" si="129"/>
        <v>0</v>
      </c>
      <c r="AH238" s="1172">
        <f t="shared" si="130"/>
        <v>0</v>
      </c>
      <c r="AI238" s="937">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8">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49">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6">
        <f t="shared" si="126"/>
        <v>0</v>
      </c>
      <c r="AE239" s="937">
        <f t="shared" si="127"/>
        <v>0</v>
      </c>
      <c r="AF239" s="937">
        <f t="shared" si="128"/>
        <v>0</v>
      </c>
      <c r="AG239" s="937">
        <f t="shared" si="129"/>
        <v>0</v>
      </c>
      <c r="AH239" s="1172">
        <f t="shared" si="130"/>
        <v>0</v>
      </c>
      <c r="AI239" s="937">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8">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49">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6">
        <f t="shared" si="126"/>
        <v>0</v>
      </c>
      <c r="AE240" s="937">
        <f t="shared" si="127"/>
        <v>0</v>
      </c>
      <c r="AF240" s="937">
        <f t="shared" si="128"/>
        <v>0</v>
      </c>
      <c r="AG240" s="937">
        <f t="shared" si="129"/>
        <v>0</v>
      </c>
      <c r="AH240" s="1172">
        <f t="shared" si="130"/>
        <v>0</v>
      </c>
      <c r="AI240" s="937">
        <f t="shared" si="131"/>
        <v>0</v>
      </c>
    </row>
    <row r="241" spans="1:35" ht="13.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8">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49">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6">
        <f t="shared" si="126"/>
        <v>0</v>
      </c>
      <c r="AE241" s="937">
        <f t="shared" si="127"/>
        <v>0</v>
      </c>
      <c r="AF241" s="937">
        <f t="shared" si="128"/>
        <v>0</v>
      </c>
      <c r="AG241" s="937">
        <f t="shared" si="129"/>
        <v>0</v>
      </c>
      <c r="AH241" s="1172">
        <f t="shared" si="130"/>
        <v>0</v>
      </c>
      <c r="AI241" s="937">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8">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49">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6">
        <f t="shared" si="126"/>
        <v>0</v>
      </c>
      <c r="AE242" s="937">
        <f t="shared" si="127"/>
        <v>0</v>
      </c>
      <c r="AF242" s="937">
        <f t="shared" si="128"/>
        <v>0</v>
      </c>
      <c r="AG242" s="937">
        <f t="shared" si="129"/>
        <v>0</v>
      </c>
      <c r="AH242" s="1172">
        <f t="shared" si="130"/>
        <v>0</v>
      </c>
      <c r="AI242" s="937">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8">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49">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6">
        <f t="shared" si="126"/>
        <v>0</v>
      </c>
      <c r="AE243" s="937">
        <f t="shared" si="127"/>
        <v>0</v>
      </c>
      <c r="AF243" s="937">
        <f t="shared" si="128"/>
        <v>0</v>
      </c>
      <c r="AG243" s="937">
        <f t="shared" si="129"/>
        <v>0</v>
      </c>
      <c r="AH243" s="1172">
        <f t="shared" si="130"/>
        <v>0</v>
      </c>
      <c r="AI243" s="937">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8">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49">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6">
        <f t="shared" si="126"/>
        <v>0</v>
      </c>
      <c r="AE244" s="937">
        <f t="shared" si="127"/>
        <v>0</v>
      </c>
      <c r="AF244" s="937">
        <f t="shared" si="128"/>
        <v>0</v>
      </c>
      <c r="AG244" s="937">
        <f t="shared" si="129"/>
        <v>0</v>
      </c>
      <c r="AH244" s="1172">
        <f t="shared" si="130"/>
        <v>0</v>
      </c>
      <c r="AI244" s="937">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8">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49">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6">
        <f t="shared" si="126"/>
        <v>0</v>
      </c>
      <c r="AE245" s="937">
        <f t="shared" si="127"/>
        <v>0</v>
      </c>
      <c r="AF245" s="937">
        <f t="shared" si="128"/>
        <v>0</v>
      </c>
      <c r="AG245" s="937">
        <f t="shared" si="129"/>
        <v>0</v>
      </c>
      <c r="AH245" s="1172">
        <f t="shared" si="130"/>
        <v>0</v>
      </c>
      <c r="AI245" s="937">
        <f t="shared" si="131"/>
        <v>0</v>
      </c>
    </row>
    <row r="246" spans="1:35" ht="13.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8">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49">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6">
        <f t="shared" si="126"/>
        <v>0</v>
      </c>
      <c r="AE246" s="937">
        <f t="shared" si="127"/>
        <v>0</v>
      </c>
      <c r="AF246" s="937">
        <f t="shared" si="128"/>
        <v>0</v>
      </c>
      <c r="AG246" s="937">
        <f t="shared" si="129"/>
        <v>0</v>
      </c>
      <c r="AH246" s="1172">
        <f t="shared" si="130"/>
        <v>0</v>
      </c>
      <c r="AI246" s="937">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8">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49">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6">
        <f t="shared" si="126"/>
        <v>0</v>
      </c>
      <c r="AE247" s="937">
        <f t="shared" si="127"/>
        <v>0</v>
      </c>
      <c r="AF247" s="937">
        <f t="shared" si="128"/>
        <v>0</v>
      </c>
      <c r="AG247" s="937">
        <f t="shared" si="129"/>
        <v>0</v>
      </c>
      <c r="AH247" s="1172">
        <f t="shared" si="130"/>
        <v>0</v>
      </c>
      <c r="AI247" s="937">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8">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49">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6">
        <f t="shared" si="126"/>
        <v>0</v>
      </c>
      <c r="AE248" s="937">
        <f>SUMPRODUCT($B$74:$L$74,B248:L248)</f>
        <v>0</v>
      </c>
      <c r="AF248" s="937">
        <f>SUMPRODUCT($O$74:$Y$74,O248:Y248)</f>
        <v>0</v>
      </c>
      <c r="AG248" s="937">
        <f>SUM(AE248:AF248)</f>
        <v>0</v>
      </c>
      <c r="AH248" s="1172">
        <f t="shared" si="130"/>
        <v>0</v>
      </c>
      <c r="AI248" s="937">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8">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49">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6">
        <f t="shared" si="126"/>
        <v>0</v>
      </c>
      <c r="AE249" s="937">
        <f t="shared" ref="AE249:AE276" si="132">SUMPRODUCT($B$74:$L$74,B249:L249)</f>
        <v>0</v>
      </c>
      <c r="AF249" s="937">
        <f t="shared" ref="AF249:AF276" si="133">SUMPRODUCT($O$74:$Y$74,O249:Y249)</f>
        <v>0</v>
      </c>
      <c r="AG249" s="937">
        <f t="shared" ref="AG249:AG276" si="134">SUM(AE249:AF249)</f>
        <v>0</v>
      </c>
      <c r="AH249" s="1172">
        <f t="shared" si="130"/>
        <v>0</v>
      </c>
      <c r="AI249" s="937">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8">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49">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6">
        <f t="shared" si="126"/>
        <v>0</v>
      </c>
      <c r="AE250" s="937">
        <f t="shared" si="132"/>
        <v>0</v>
      </c>
      <c r="AF250" s="937">
        <f t="shared" si="133"/>
        <v>0</v>
      </c>
      <c r="AG250" s="937">
        <f t="shared" si="134"/>
        <v>0</v>
      </c>
      <c r="AH250" s="1172">
        <f t="shared" si="130"/>
        <v>0</v>
      </c>
      <c r="AI250" s="937">
        <f t="shared" si="131"/>
        <v>0</v>
      </c>
    </row>
    <row r="251" spans="1:35" ht="13.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8">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49">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6">
        <f t="shared" si="126"/>
        <v>0</v>
      </c>
      <c r="AE251" s="937">
        <f t="shared" si="132"/>
        <v>0</v>
      </c>
      <c r="AF251" s="937">
        <f t="shared" si="133"/>
        <v>0</v>
      </c>
      <c r="AG251" s="937">
        <f t="shared" si="134"/>
        <v>0</v>
      </c>
      <c r="AH251" s="1172">
        <f t="shared" si="130"/>
        <v>0</v>
      </c>
      <c r="AI251" s="937">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8">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49">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6">
        <f t="shared" si="126"/>
        <v>0</v>
      </c>
      <c r="AE252" s="937">
        <f t="shared" si="132"/>
        <v>0</v>
      </c>
      <c r="AF252" s="937">
        <f t="shared" si="133"/>
        <v>0</v>
      </c>
      <c r="AG252" s="937">
        <f t="shared" si="134"/>
        <v>0</v>
      </c>
      <c r="AH252" s="1172">
        <f t="shared" si="130"/>
        <v>0</v>
      </c>
      <c r="AI252" s="937">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8">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49">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6">
        <f t="shared" si="126"/>
        <v>0</v>
      </c>
      <c r="AE253" s="937">
        <f t="shared" si="132"/>
        <v>0</v>
      </c>
      <c r="AF253" s="937">
        <f t="shared" si="133"/>
        <v>0</v>
      </c>
      <c r="AG253" s="937">
        <f t="shared" si="134"/>
        <v>0</v>
      </c>
      <c r="AH253" s="1172">
        <f t="shared" si="130"/>
        <v>0</v>
      </c>
      <c r="AI253" s="937">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8">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49">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6">
        <f t="shared" si="126"/>
        <v>0</v>
      </c>
      <c r="AE254" s="937">
        <f t="shared" si="132"/>
        <v>0</v>
      </c>
      <c r="AF254" s="937">
        <f t="shared" si="133"/>
        <v>0</v>
      </c>
      <c r="AG254" s="937">
        <f t="shared" si="134"/>
        <v>0</v>
      </c>
      <c r="AH254" s="1172">
        <f t="shared" si="130"/>
        <v>0</v>
      </c>
      <c r="AI254" s="937">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8">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49">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6">
        <f t="shared" si="126"/>
        <v>0</v>
      </c>
      <c r="AE255" s="937">
        <f t="shared" si="132"/>
        <v>0</v>
      </c>
      <c r="AF255" s="937">
        <f t="shared" si="133"/>
        <v>0</v>
      </c>
      <c r="AG255" s="937">
        <f t="shared" si="134"/>
        <v>0</v>
      </c>
      <c r="AH255" s="1172">
        <f t="shared" si="130"/>
        <v>0</v>
      </c>
      <c r="AI255" s="937">
        <f t="shared" si="131"/>
        <v>0</v>
      </c>
    </row>
    <row r="256" spans="1:35" ht="13.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8">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49">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6">
        <f t="shared" si="126"/>
        <v>0</v>
      </c>
      <c r="AE256" s="937">
        <f t="shared" si="132"/>
        <v>0</v>
      </c>
      <c r="AF256" s="937">
        <f t="shared" si="133"/>
        <v>0</v>
      </c>
      <c r="AG256" s="937">
        <f t="shared" si="134"/>
        <v>0</v>
      </c>
      <c r="AH256" s="1172">
        <f t="shared" si="130"/>
        <v>0</v>
      </c>
      <c r="AI256" s="937">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8">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49">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6">
        <f t="shared" si="126"/>
        <v>0</v>
      </c>
      <c r="AE257" s="937">
        <f t="shared" si="132"/>
        <v>0</v>
      </c>
      <c r="AF257" s="937">
        <f t="shared" si="133"/>
        <v>0</v>
      </c>
      <c r="AG257" s="937">
        <f t="shared" si="134"/>
        <v>0</v>
      </c>
      <c r="AH257" s="1172">
        <f t="shared" si="130"/>
        <v>0</v>
      </c>
      <c r="AI257" s="937">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8">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49">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6">
        <f t="shared" si="126"/>
        <v>0</v>
      </c>
      <c r="AE258" s="937">
        <f t="shared" si="132"/>
        <v>0</v>
      </c>
      <c r="AF258" s="937">
        <f t="shared" si="133"/>
        <v>0</v>
      </c>
      <c r="AG258" s="937">
        <f t="shared" si="134"/>
        <v>0</v>
      </c>
      <c r="AH258" s="1172">
        <f t="shared" si="130"/>
        <v>0</v>
      </c>
      <c r="AI258" s="937">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8">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49">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6">
        <f>AB259*AH259+AC259*AI259</f>
        <v>0</v>
      </c>
      <c r="AE259" s="937">
        <f t="shared" si="132"/>
        <v>0</v>
      </c>
      <c r="AF259" s="937">
        <f t="shared" si="133"/>
        <v>0</v>
      </c>
      <c r="AG259" s="937">
        <f t="shared" si="134"/>
        <v>0</v>
      </c>
      <c r="AH259" s="1172">
        <f t="shared" si="130"/>
        <v>0</v>
      </c>
      <c r="AI259" s="937">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8">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49">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6">
        <f t="shared" ref="AD260:AD276" si="135">AB260*AH260+AC260*AI260</f>
        <v>0</v>
      </c>
      <c r="AE260" s="937">
        <f t="shared" si="132"/>
        <v>0</v>
      </c>
      <c r="AF260" s="937">
        <f t="shared" si="133"/>
        <v>0</v>
      </c>
      <c r="AG260" s="937">
        <f t="shared" si="134"/>
        <v>0</v>
      </c>
      <c r="AH260" s="1172">
        <f t="shared" si="130"/>
        <v>0</v>
      </c>
      <c r="AI260" s="937">
        <f t="shared" si="131"/>
        <v>0</v>
      </c>
    </row>
    <row r="261" spans="1:35" ht="13.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8">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49">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6">
        <f t="shared" si="135"/>
        <v>0</v>
      </c>
      <c r="AE261" s="937">
        <f t="shared" si="132"/>
        <v>0</v>
      </c>
      <c r="AF261" s="937">
        <f t="shared" si="133"/>
        <v>0</v>
      </c>
      <c r="AG261" s="937">
        <f t="shared" si="134"/>
        <v>0</v>
      </c>
      <c r="AH261" s="1172">
        <f t="shared" si="130"/>
        <v>0</v>
      </c>
      <c r="AI261" s="937">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22"/>
        <v>0</v>
      </c>
      <c r="N262" s="284">
        <f t="shared" si="123"/>
        <v>0</v>
      </c>
      <c r="O262" s="342">
        <v>0</v>
      </c>
      <c r="P262" s="343">
        <v>0</v>
      </c>
      <c r="Q262" s="343">
        <v>0</v>
      </c>
      <c r="R262" s="343">
        <v>0</v>
      </c>
      <c r="S262" s="343">
        <v>0</v>
      </c>
      <c r="T262" s="343">
        <v>0</v>
      </c>
      <c r="U262" s="343">
        <v>0</v>
      </c>
      <c r="V262" s="343">
        <v>0</v>
      </c>
      <c r="W262" s="343">
        <v>0</v>
      </c>
      <c r="X262" s="343">
        <v>0</v>
      </c>
      <c r="Y262" s="379">
        <v>0</v>
      </c>
      <c r="Z262" s="282">
        <f t="shared" si="124"/>
        <v>0</v>
      </c>
      <c r="AA262" s="284">
        <f t="shared" si="125"/>
        <v>0</v>
      </c>
      <c r="AB262" s="948">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49">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1226">
        <f t="shared" si="135"/>
        <v>0</v>
      </c>
      <c r="AE262" s="937">
        <f t="shared" si="132"/>
        <v>0</v>
      </c>
      <c r="AF262" s="937">
        <f t="shared" si="133"/>
        <v>0</v>
      </c>
      <c r="AG262" s="937">
        <f t="shared" si="134"/>
        <v>0</v>
      </c>
      <c r="AH262" s="1172">
        <f t="shared" si="130"/>
        <v>0</v>
      </c>
      <c r="AI262" s="937">
        <f t="shared" si="131"/>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22"/>
        <v>0</v>
      </c>
      <c r="N263" s="298">
        <f t="shared" si="123"/>
        <v>0</v>
      </c>
      <c r="O263" s="344">
        <v>0</v>
      </c>
      <c r="P263" s="345">
        <v>0</v>
      </c>
      <c r="Q263" s="345">
        <v>0</v>
      </c>
      <c r="R263" s="345">
        <v>0</v>
      </c>
      <c r="S263" s="345">
        <v>0</v>
      </c>
      <c r="T263" s="345">
        <v>0</v>
      </c>
      <c r="U263" s="345">
        <v>0</v>
      </c>
      <c r="V263" s="345">
        <v>0</v>
      </c>
      <c r="W263" s="345">
        <v>0</v>
      </c>
      <c r="X263" s="345">
        <v>0</v>
      </c>
      <c r="Y263" s="380">
        <v>0</v>
      </c>
      <c r="Z263" s="296">
        <f t="shared" si="124"/>
        <v>0</v>
      </c>
      <c r="AA263" s="298">
        <f t="shared" si="125"/>
        <v>0</v>
      </c>
      <c r="AB263" s="948">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49">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1226">
        <f t="shared" si="135"/>
        <v>0</v>
      </c>
      <c r="AE263" s="937">
        <f t="shared" si="132"/>
        <v>0</v>
      </c>
      <c r="AF263" s="937">
        <f t="shared" si="133"/>
        <v>0</v>
      </c>
      <c r="AG263" s="937">
        <f t="shared" si="134"/>
        <v>0</v>
      </c>
      <c r="AH263" s="1172">
        <f t="shared" si="130"/>
        <v>0</v>
      </c>
      <c r="AI263" s="937">
        <f t="shared" si="131"/>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22"/>
        <v>0</v>
      </c>
      <c r="N264" s="298">
        <f t="shared" si="123"/>
        <v>0</v>
      </c>
      <c r="O264" s="344">
        <v>0</v>
      </c>
      <c r="P264" s="345">
        <v>0</v>
      </c>
      <c r="Q264" s="345">
        <v>0</v>
      </c>
      <c r="R264" s="345">
        <v>0</v>
      </c>
      <c r="S264" s="345">
        <v>0</v>
      </c>
      <c r="T264" s="345">
        <v>0</v>
      </c>
      <c r="U264" s="345">
        <v>0</v>
      </c>
      <c r="V264" s="345">
        <v>0</v>
      </c>
      <c r="W264" s="345">
        <v>0</v>
      </c>
      <c r="X264" s="345">
        <v>0</v>
      </c>
      <c r="Y264" s="380">
        <v>0</v>
      </c>
      <c r="Z264" s="296">
        <f t="shared" si="124"/>
        <v>0</v>
      </c>
      <c r="AA264" s="298">
        <f t="shared" si="125"/>
        <v>0</v>
      </c>
      <c r="AB264" s="948">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49">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1226">
        <f t="shared" si="135"/>
        <v>0</v>
      </c>
      <c r="AE264" s="937">
        <f t="shared" si="132"/>
        <v>0</v>
      </c>
      <c r="AF264" s="937">
        <f t="shared" si="133"/>
        <v>0</v>
      </c>
      <c r="AG264" s="937">
        <f t="shared" si="134"/>
        <v>0</v>
      </c>
      <c r="AH264" s="1172">
        <f t="shared" si="130"/>
        <v>0</v>
      </c>
      <c r="AI264" s="937">
        <f t="shared" si="131"/>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22"/>
        <v>0</v>
      </c>
      <c r="N265" s="298">
        <f t="shared" si="123"/>
        <v>0</v>
      </c>
      <c r="O265" s="344">
        <v>0</v>
      </c>
      <c r="P265" s="345">
        <v>0</v>
      </c>
      <c r="Q265" s="345">
        <v>0</v>
      </c>
      <c r="R265" s="345">
        <v>0</v>
      </c>
      <c r="S265" s="345">
        <v>0</v>
      </c>
      <c r="T265" s="345">
        <v>0</v>
      </c>
      <c r="U265" s="345">
        <v>0</v>
      </c>
      <c r="V265" s="345">
        <v>0</v>
      </c>
      <c r="W265" s="345">
        <v>0</v>
      </c>
      <c r="X265" s="345">
        <v>0</v>
      </c>
      <c r="Y265" s="380">
        <v>0</v>
      </c>
      <c r="Z265" s="296">
        <f t="shared" si="124"/>
        <v>0</v>
      </c>
      <c r="AA265" s="298">
        <f t="shared" si="125"/>
        <v>0</v>
      </c>
      <c r="AB265" s="948">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49">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1226">
        <f t="shared" si="135"/>
        <v>0</v>
      </c>
      <c r="AE265" s="937">
        <f t="shared" si="132"/>
        <v>0</v>
      </c>
      <c r="AF265" s="937">
        <f t="shared" si="133"/>
        <v>0</v>
      </c>
      <c r="AG265" s="937">
        <f t="shared" si="134"/>
        <v>0</v>
      </c>
      <c r="AH265" s="1172">
        <f t="shared" si="130"/>
        <v>0</v>
      </c>
      <c r="AI265" s="937">
        <f t="shared" si="131"/>
        <v>0</v>
      </c>
    </row>
    <row r="266" spans="1:35" ht="13.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22"/>
        <v>0</v>
      </c>
      <c r="N266" s="312">
        <f t="shared" si="123"/>
        <v>0</v>
      </c>
      <c r="O266" s="346">
        <v>0</v>
      </c>
      <c r="P266" s="347">
        <v>0</v>
      </c>
      <c r="Q266" s="347">
        <v>0</v>
      </c>
      <c r="R266" s="347">
        <v>0</v>
      </c>
      <c r="S266" s="347">
        <v>0</v>
      </c>
      <c r="T266" s="347">
        <v>0</v>
      </c>
      <c r="U266" s="347">
        <v>0</v>
      </c>
      <c r="V266" s="347">
        <v>0</v>
      </c>
      <c r="W266" s="347">
        <v>0</v>
      </c>
      <c r="X266" s="347">
        <v>0</v>
      </c>
      <c r="Y266" s="381">
        <v>0</v>
      </c>
      <c r="Z266" s="310">
        <f t="shared" si="124"/>
        <v>0</v>
      </c>
      <c r="AA266" s="312">
        <f t="shared" si="125"/>
        <v>0</v>
      </c>
      <c r="AB266" s="948">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49">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1226">
        <f t="shared" si="135"/>
        <v>0</v>
      </c>
      <c r="AE266" s="937">
        <f t="shared" si="132"/>
        <v>0</v>
      </c>
      <c r="AF266" s="937">
        <f t="shared" si="133"/>
        <v>0</v>
      </c>
      <c r="AG266" s="937">
        <f t="shared" si="134"/>
        <v>0</v>
      </c>
      <c r="AH266" s="1172">
        <f t="shared" si="130"/>
        <v>0</v>
      </c>
      <c r="AI266" s="937">
        <f t="shared" si="131"/>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22"/>
        <v>0</v>
      </c>
      <c r="N267" s="284">
        <f t="shared" si="123"/>
        <v>0</v>
      </c>
      <c r="O267" s="342">
        <v>0</v>
      </c>
      <c r="P267" s="343">
        <v>0</v>
      </c>
      <c r="Q267" s="343">
        <v>0</v>
      </c>
      <c r="R267" s="343">
        <v>0</v>
      </c>
      <c r="S267" s="343">
        <v>0</v>
      </c>
      <c r="T267" s="343">
        <v>0</v>
      </c>
      <c r="U267" s="343">
        <v>0</v>
      </c>
      <c r="V267" s="343">
        <v>0</v>
      </c>
      <c r="W267" s="343">
        <v>0</v>
      </c>
      <c r="X267" s="343">
        <v>0</v>
      </c>
      <c r="Y267" s="379">
        <v>0</v>
      </c>
      <c r="Z267" s="282">
        <f t="shared" si="124"/>
        <v>0</v>
      </c>
      <c r="AA267" s="284">
        <f t="shared" si="125"/>
        <v>0</v>
      </c>
      <c r="AB267" s="948">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49">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1226">
        <f t="shared" si="135"/>
        <v>0</v>
      </c>
      <c r="AE267" s="937">
        <f t="shared" si="132"/>
        <v>0</v>
      </c>
      <c r="AF267" s="937">
        <f t="shared" si="133"/>
        <v>0</v>
      </c>
      <c r="AG267" s="937">
        <f t="shared" si="134"/>
        <v>0</v>
      </c>
      <c r="AH267" s="1172">
        <f t="shared" si="130"/>
        <v>0</v>
      </c>
      <c r="AI267" s="937">
        <f t="shared" si="131"/>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22"/>
        <v>0</v>
      </c>
      <c r="N268" s="298">
        <f t="shared" si="123"/>
        <v>0</v>
      </c>
      <c r="O268" s="344">
        <v>0</v>
      </c>
      <c r="P268" s="345">
        <v>0</v>
      </c>
      <c r="Q268" s="345">
        <v>0</v>
      </c>
      <c r="R268" s="345">
        <v>0</v>
      </c>
      <c r="S268" s="345">
        <v>0</v>
      </c>
      <c r="T268" s="345">
        <v>0</v>
      </c>
      <c r="U268" s="345">
        <v>0</v>
      </c>
      <c r="V268" s="345">
        <v>0</v>
      </c>
      <c r="W268" s="345">
        <v>0</v>
      </c>
      <c r="X268" s="345">
        <v>9.7733154776561746E-5</v>
      </c>
      <c r="Y268" s="380">
        <v>1.5921976894643108E-3</v>
      </c>
      <c r="Z268" s="296">
        <f t="shared" si="124"/>
        <v>8.4214970218314343E-5</v>
      </c>
      <c r="AA268" s="298">
        <f t="shared" si="125"/>
        <v>4.3283026630243995E-5</v>
      </c>
      <c r="AB268" s="948">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49">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1226">
        <f t="shared" si="135"/>
        <v>0</v>
      </c>
      <c r="AE268" s="937">
        <f t="shared" si="132"/>
        <v>0</v>
      </c>
      <c r="AF268" s="937">
        <f t="shared" si="133"/>
        <v>8.4214970218314343E-5</v>
      </c>
      <c r="AG268" s="937">
        <f t="shared" si="134"/>
        <v>8.4214970218314343E-5</v>
      </c>
      <c r="AH268" s="1172">
        <f t="shared" si="130"/>
        <v>0</v>
      </c>
      <c r="AI268" s="937">
        <f t="shared" si="131"/>
        <v>1</v>
      </c>
    </row>
    <row r="269" spans="1:35" x14ac:dyDescent="0.2">
      <c r="A269" s="330">
        <v>2043</v>
      </c>
      <c r="B269" s="344">
        <v>0</v>
      </c>
      <c r="C269" s="345">
        <v>0</v>
      </c>
      <c r="D269" s="345">
        <v>0</v>
      </c>
      <c r="E269" s="345">
        <v>0</v>
      </c>
      <c r="F269" s="345">
        <v>0</v>
      </c>
      <c r="G269" s="345">
        <v>0</v>
      </c>
      <c r="H269" s="345">
        <v>0</v>
      </c>
      <c r="I269" s="345">
        <v>1.8868493281527749E-4</v>
      </c>
      <c r="J269" s="345">
        <v>1.7479436343727263E-3</v>
      </c>
      <c r="K269" s="345">
        <v>5.7710401571230835E-3</v>
      </c>
      <c r="L269" s="380">
        <v>3.6477608802122301E-2</v>
      </c>
      <c r="M269" s="296">
        <f t="shared" si="122"/>
        <v>6.4343596523463087E-4</v>
      </c>
      <c r="N269" s="298">
        <f t="shared" si="123"/>
        <v>3.1346940100133801E-4</v>
      </c>
      <c r="O269" s="344">
        <v>0</v>
      </c>
      <c r="P269" s="345">
        <v>0</v>
      </c>
      <c r="Q269" s="345">
        <v>0</v>
      </c>
      <c r="R269" s="345">
        <v>0</v>
      </c>
      <c r="S269" s="345">
        <v>0</v>
      </c>
      <c r="T269" s="345">
        <v>1.3102494967173428E-4</v>
      </c>
      <c r="U269" s="345">
        <v>1.0825261631871258E-3</v>
      </c>
      <c r="V269" s="345">
        <v>6.645153148681646E-3</v>
      </c>
      <c r="W269" s="345">
        <v>1.8625820154076919E-2</v>
      </c>
      <c r="X269" s="345">
        <v>3.6477608802122301E-2</v>
      </c>
      <c r="Y269" s="380">
        <v>7.716240992191116E-2</v>
      </c>
      <c r="Z269" s="296">
        <f t="shared" si="124"/>
        <v>6.6597149860218854E-3</v>
      </c>
      <c r="AA269" s="298">
        <f t="shared" si="125"/>
        <v>3.8848390731573527E-3</v>
      </c>
      <c r="AB269" s="948">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49">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1226">
        <f t="shared" si="135"/>
        <v>0</v>
      </c>
      <c r="AE269" s="937">
        <f t="shared" si="132"/>
        <v>6.4343596523463087E-4</v>
      </c>
      <c r="AF269" s="937">
        <f t="shared" si="133"/>
        <v>6.6597149860218854E-3</v>
      </c>
      <c r="AG269" s="937">
        <f t="shared" si="134"/>
        <v>7.3031509512565158E-3</v>
      </c>
      <c r="AH269" s="1172">
        <f t="shared" si="130"/>
        <v>8.8103884135645169E-2</v>
      </c>
      <c r="AI269" s="937">
        <f t="shared" si="131"/>
        <v>0.91189611586435493</v>
      </c>
    </row>
    <row r="270" spans="1:35" x14ac:dyDescent="0.2">
      <c r="A270" s="330">
        <v>2044</v>
      </c>
      <c r="B270" s="344">
        <v>0</v>
      </c>
      <c r="C270" s="345">
        <v>0</v>
      </c>
      <c r="D270" s="345">
        <v>0</v>
      </c>
      <c r="E270" s="345">
        <v>0</v>
      </c>
      <c r="F270" s="345">
        <v>1.7052686520958865E-4</v>
      </c>
      <c r="G270" s="345">
        <v>3.0183478266850032E-3</v>
      </c>
      <c r="H270" s="345">
        <v>1.2262230318270204E-2</v>
      </c>
      <c r="I270" s="345">
        <v>3.5385264627760808E-2</v>
      </c>
      <c r="J270" s="345">
        <v>6.3871125472239457E-2</v>
      </c>
      <c r="K270" s="345">
        <v>9.7012355986049806E-2</v>
      </c>
      <c r="L270" s="380">
        <v>0.16360056833618303</v>
      </c>
      <c r="M270" s="296">
        <f t="shared" si="122"/>
        <v>6.1225975940838624E-3</v>
      </c>
      <c r="N270" s="298">
        <f t="shared" si="123"/>
        <v>3.9035576872032702E-3</v>
      </c>
      <c r="O270" s="344">
        <v>0</v>
      </c>
      <c r="P270" s="345">
        <v>0</v>
      </c>
      <c r="Q270" s="345">
        <v>0</v>
      </c>
      <c r="R270" s="345">
        <v>0</v>
      </c>
      <c r="S270" s="345">
        <v>3.514561895456503E-3</v>
      </c>
      <c r="T270" s="345">
        <v>2.0271271237036793E-2</v>
      </c>
      <c r="U270" s="345">
        <v>4.3664741048951176E-2</v>
      </c>
      <c r="V270" s="345">
        <v>8.2892305213042763E-2</v>
      </c>
      <c r="W270" s="345">
        <v>0.11243223308085061</v>
      </c>
      <c r="X270" s="345">
        <v>0.14599414864224786</v>
      </c>
      <c r="Y270" s="380">
        <v>0.19012995250690873</v>
      </c>
      <c r="Z270" s="296">
        <f t="shared" si="124"/>
        <v>4.0371515653905177E-2</v>
      </c>
      <c r="AA270" s="298">
        <f t="shared" si="125"/>
        <v>2.9766502550307401E-2</v>
      </c>
      <c r="AB270" s="948">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49">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1226">
        <f t="shared" si="135"/>
        <v>0</v>
      </c>
      <c r="AE270" s="937">
        <f t="shared" si="132"/>
        <v>6.1225975940838624E-3</v>
      </c>
      <c r="AF270" s="937">
        <f t="shared" si="133"/>
        <v>4.0371515653905177E-2</v>
      </c>
      <c r="AG270" s="937">
        <f t="shared" si="134"/>
        <v>4.6494113247989036E-2</v>
      </c>
      <c r="AH270" s="1172">
        <f t="shared" si="130"/>
        <v>0.13168543642132324</v>
      </c>
      <c r="AI270" s="937">
        <f t="shared" si="131"/>
        <v>0.86831456357867687</v>
      </c>
    </row>
    <row r="271" spans="1:35" ht="13.5" thickBot="1" x14ac:dyDescent="0.25">
      <c r="A271" s="328">
        <v>2045</v>
      </c>
      <c r="B271" s="346">
        <v>0</v>
      </c>
      <c r="C271" s="347">
        <v>0</v>
      </c>
      <c r="D271" s="347">
        <v>0</v>
      </c>
      <c r="E271" s="347">
        <v>2.019099135893833E-3</v>
      </c>
      <c r="F271" s="347">
        <v>1.9102904748222915E-2</v>
      </c>
      <c r="G271" s="347">
        <v>5.6060250898571286E-2</v>
      </c>
      <c r="H271" s="347">
        <v>9.4209042474588028E-2</v>
      </c>
      <c r="I271" s="347">
        <v>0.13535040036841475</v>
      </c>
      <c r="J271" s="347">
        <v>0.17128293079016355</v>
      </c>
      <c r="K271" s="347">
        <v>0.19875611005394495</v>
      </c>
      <c r="L271" s="381">
        <v>0.24157980932083001</v>
      </c>
      <c r="M271" s="310">
        <f t="shared" si="122"/>
        <v>2.0900924814554512E-2</v>
      </c>
      <c r="N271" s="312">
        <f t="shared" si="123"/>
        <v>1.6223383606505659E-2</v>
      </c>
      <c r="O271" s="346">
        <v>0</v>
      </c>
      <c r="P271" s="347">
        <v>0</v>
      </c>
      <c r="Q271" s="347">
        <v>2.2281833915307171E-4</v>
      </c>
      <c r="R271" s="347">
        <v>1.0156643356155095E-2</v>
      </c>
      <c r="S271" s="347">
        <v>5.0972648970730547E-2</v>
      </c>
      <c r="T271" s="347">
        <v>0.10186777350203088</v>
      </c>
      <c r="U271" s="347">
        <v>0.14236464786497335</v>
      </c>
      <c r="V271" s="347">
        <v>0.18047885668543681</v>
      </c>
      <c r="W271" s="347">
        <v>0.20774350794147908</v>
      </c>
      <c r="X271" s="347">
        <v>0.23353166942339293</v>
      </c>
      <c r="Y271" s="381">
        <v>0.25657947208231296</v>
      </c>
      <c r="Z271" s="310">
        <f t="shared" si="124"/>
        <v>0.10159141673193055</v>
      </c>
      <c r="AA271" s="312">
        <f t="shared" si="125"/>
        <v>8.4058277214929963E-2</v>
      </c>
      <c r="AB271" s="948">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49">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1226">
        <f t="shared" si="135"/>
        <v>0</v>
      </c>
      <c r="AE271" s="937">
        <f t="shared" si="132"/>
        <v>2.0900924814554512E-2</v>
      </c>
      <c r="AF271" s="937">
        <f t="shared" si="133"/>
        <v>0.10159141673193055</v>
      </c>
      <c r="AG271" s="937">
        <f t="shared" si="134"/>
        <v>0.12249234154648506</v>
      </c>
      <c r="AH271" s="1172">
        <f t="shared" si="130"/>
        <v>0.17063046187767375</v>
      </c>
      <c r="AI271" s="937">
        <f t="shared" si="131"/>
        <v>0.82936953812232628</v>
      </c>
    </row>
    <row r="272" spans="1:35" x14ac:dyDescent="0.2">
      <c r="A272" s="329">
        <v>2046</v>
      </c>
      <c r="B272" s="342">
        <v>0</v>
      </c>
      <c r="C272" s="343">
        <v>0</v>
      </c>
      <c r="D272" s="343">
        <v>4.7857280693717309E-4</v>
      </c>
      <c r="E272" s="343">
        <v>2.2192495392086044E-2</v>
      </c>
      <c r="F272" s="343">
        <v>7.5901943192891647E-2</v>
      </c>
      <c r="G272" s="343">
        <v>0.12780562091741898</v>
      </c>
      <c r="H272" s="343">
        <v>0.16040923581820773</v>
      </c>
      <c r="I272" s="343">
        <v>0.20464467564903327</v>
      </c>
      <c r="J272" s="343">
        <v>0.23161792383174507</v>
      </c>
      <c r="K272" s="343">
        <v>0.25617209101488547</v>
      </c>
      <c r="L272" s="379">
        <v>0.27707045415758286</v>
      </c>
      <c r="M272" s="282">
        <f t="shared" si="122"/>
        <v>3.4154756926587621E-2</v>
      </c>
      <c r="N272" s="284">
        <f t="shared" si="123"/>
        <v>2.8570883351358611E-2</v>
      </c>
      <c r="O272" s="342">
        <v>0</v>
      </c>
      <c r="P272" s="343">
        <v>0</v>
      </c>
      <c r="Q272" s="343">
        <v>6.132736272064343E-3</v>
      </c>
      <c r="R272" s="343">
        <v>4.7782665667119528E-2</v>
      </c>
      <c r="S272" s="343">
        <v>0.12062367476981486</v>
      </c>
      <c r="T272" s="343">
        <v>0.17015804134343293</v>
      </c>
      <c r="U272" s="343">
        <v>0.19271799692861066</v>
      </c>
      <c r="V272" s="343">
        <v>0.23161792383174507</v>
      </c>
      <c r="W272" s="343">
        <v>0.25617209101488547</v>
      </c>
      <c r="X272" s="343">
        <v>0.27058389566590646</v>
      </c>
      <c r="Y272" s="379">
        <v>0.28302034913383617</v>
      </c>
      <c r="Z272" s="282">
        <f t="shared" si="124"/>
        <v>0.14217511865583085</v>
      </c>
      <c r="AA272" s="284">
        <f t="shared" si="125"/>
        <v>0.1231588497503846</v>
      </c>
      <c r="AB272" s="948">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49">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1226">
        <f t="shared" si="135"/>
        <v>0</v>
      </c>
      <c r="AE272" s="937">
        <f t="shared" si="132"/>
        <v>3.4154756926587621E-2</v>
      </c>
      <c r="AF272" s="937">
        <f t="shared" si="133"/>
        <v>0.14217511865583085</v>
      </c>
      <c r="AG272" s="937">
        <f t="shared" si="134"/>
        <v>0.17632987558241847</v>
      </c>
      <c r="AH272" s="1172">
        <f t="shared" si="130"/>
        <v>0.19369807194483796</v>
      </c>
      <c r="AI272" s="937">
        <f t="shared" si="131"/>
        <v>0.80630192805516199</v>
      </c>
    </row>
    <row r="273" spans="1:43" x14ac:dyDescent="0.2">
      <c r="A273" s="330">
        <v>2047</v>
      </c>
      <c r="B273" s="344">
        <v>0</v>
      </c>
      <c r="C273" s="345">
        <v>0</v>
      </c>
      <c r="D273" s="345">
        <v>8.1686979124976859E-3</v>
      </c>
      <c r="E273" s="345">
        <v>7.0792586695643242E-2</v>
      </c>
      <c r="F273" s="345">
        <v>0.13717546022099464</v>
      </c>
      <c r="G273" s="345">
        <v>0.1751983116900111</v>
      </c>
      <c r="H273" s="345">
        <v>0.20566787529125219</v>
      </c>
      <c r="I273" s="345">
        <v>0.25265274491781375</v>
      </c>
      <c r="J273" s="345">
        <v>0.26809003543245935</v>
      </c>
      <c r="K273" s="345">
        <v>0.28169586593169155</v>
      </c>
      <c r="L273" s="380">
        <v>0.29791783039902797</v>
      </c>
      <c r="M273" s="296">
        <f t="shared" si="122"/>
        <v>4.4484414874894178E-2</v>
      </c>
      <c r="N273" s="298">
        <f t="shared" si="123"/>
        <v>3.8981391003160303E-2</v>
      </c>
      <c r="O273" s="344">
        <v>0</v>
      </c>
      <c r="P273" s="345">
        <v>0</v>
      </c>
      <c r="Q273" s="345">
        <v>3.2060170173443724E-2</v>
      </c>
      <c r="R273" s="345">
        <v>0.10601335641182612</v>
      </c>
      <c r="S273" s="345">
        <v>0.17052044075604048</v>
      </c>
      <c r="T273" s="345">
        <v>0.20762203672490889</v>
      </c>
      <c r="U273" s="345">
        <v>0.21748746467705377</v>
      </c>
      <c r="V273" s="345">
        <v>0.26809003543245935</v>
      </c>
      <c r="W273" s="345">
        <v>0.28169586593169155</v>
      </c>
      <c r="X273" s="345">
        <v>0.29312612863595766</v>
      </c>
      <c r="Y273" s="380">
        <v>0.29791783039902797</v>
      </c>
      <c r="Z273" s="296">
        <f t="shared" si="124"/>
        <v>0.16725139852396465</v>
      </c>
      <c r="AA273" s="298">
        <f t="shared" si="125"/>
        <v>0.1486237523764497</v>
      </c>
      <c r="AB273" s="948">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49">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1226">
        <f t="shared" si="135"/>
        <v>0</v>
      </c>
      <c r="AE273" s="937">
        <f t="shared" si="132"/>
        <v>4.4484414874894178E-2</v>
      </c>
      <c r="AF273" s="937">
        <f t="shared" si="133"/>
        <v>0.16725139852396465</v>
      </c>
      <c r="AG273" s="937">
        <f t="shared" si="134"/>
        <v>0.21173581339885883</v>
      </c>
      <c r="AH273" s="1172">
        <f t="shared" si="130"/>
        <v>0.21009395699676156</v>
      </c>
      <c r="AI273" s="937">
        <f t="shared" si="131"/>
        <v>0.78990604300323841</v>
      </c>
    </row>
    <row r="274" spans="1:43" x14ac:dyDescent="0.2">
      <c r="A274" s="330">
        <v>2048</v>
      </c>
      <c r="B274" s="344">
        <v>0</v>
      </c>
      <c r="C274" s="345">
        <v>0</v>
      </c>
      <c r="D274" s="345">
        <v>2.902722327169938E-2</v>
      </c>
      <c r="E274" s="345">
        <v>0.12044787340320051</v>
      </c>
      <c r="F274" s="345">
        <v>0.17770707262490518</v>
      </c>
      <c r="G274" s="345">
        <v>0.20423083757724009</v>
      </c>
      <c r="H274" s="345">
        <v>0.22198911216858649</v>
      </c>
      <c r="I274" s="345">
        <v>0.27796353325590228</v>
      </c>
      <c r="J274" s="345">
        <v>0.29059953301243774</v>
      </c>
      <c r="K274" s="345">
        <v>0.29605243750201909</v>
      </c>
      <c r="L274" s="380">
        <v>0.30841614849462273</v>
      </c>
      <c r="M274" s="296">
        <f t="shared" si="122"/>
        <v>5.0324679009130853E-2</v>
      </c>
      <c r="N274" s="298">
        <f t="shared" si="123"/>
        <v>4.5342076119283342E-2</v>
      </c>
      <c r="O274" s="344">
        <v>0</v>
      </c>
      <c r="P274" s="345">
        <v>0</v>
      </c>
      <c r="Q274" s="345">
        <v>6.5492006440093037E-2</v>
      </c>
      <c r="R274" s="345">
        <v>0.14605284979307809</v>
      </c>
      <c r="S274" s="345">
        <v>0.1993902219671658</v>
      </c>
      <c r="T274" s="345">
        <v>0.22429434681756308</v>
      </c>
      <c r="U274" s="345">
        <v>0.23256081881877416</v>
      </c>
      <c r="V274" s="345">
        <v>0.28455568504330081</v>
      </c>
      <c r="W274" s="345">
        <v>0.29605243750201909</v>
      </c>
      <c r="X274" s="345">
        <v>0.3008708679810993</v>
      </c>
      <c r="Y274" s="380">
        <v>0.30841614849462273</v>
      </c>
      <c r="Z274" s="296">
        <f t="shared" si="124"/>
        <v>0.18093739222182112</v>
      </c>
      <c r="AA274" s="298">
        <f t="shared" si="125"/>
        <v>0.16301786753502148</v>
      </c>
      <c r="AB274" s="948">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49">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1226">
        <f t="shared" si="135"/>
        <v>0</v>
      </c>
      <c r="AE274" s="937">
        <f t="shared" si="132"/>
        <v>5.0324679009130853E-2</v>
      </c>
      <c r="AF274" s="937">
        <f t="shared" si="133"/>
        <v>0.18093739222182112</v>
      </c>
      <c r="AG274" s="937">
        <f t="shared" si="134"/>
        <v>0.23126207123095197</v>
      </c>
      <c r="AH274" s="1172">
        <f t="shared" si="130"/>
        <v>0.21760887438767967</v>
      </c>
      <c r="AI274" s="937">
        <f t="shared" si="131"/>
        <v>0.78239112561232038</v>
      </c>
    </row>
    <row r="275" spans="1:43" x14ac:dyDescent="0.2">
      <c r="A275" s="330">
        <v>2049</v>
      </c>
      <c r="B275" s="344">
        <v>0</v>
      </c>
      <c r="C275" s="345">
        <v>0</v>
      </c>
      <c r="D275" s="345">
        <v>5.4562143874790456E-2</v>
      </c>
      <c r="E275" s="345">
        <v>0.15284312117202375</v>
      </c>
      <c r="F275" s="345">
        <v>0.19946273555579366</v>
      </c>
      <c r="G275" s="345">
        <v>0.22133205571812012</v>
      </c>
      <c r="H275" s="345">
        <v>0.23056818564874096</v>
      </c>
      <c r="I275" s="345">
        <v>0.28629913604972601</v>
      </c>
      <c r="J275" s="345">
        <v>0.29783586327474609</v>
      </c>
      <c r="K275" s="345">
        <v>0.30267034590758141</v>
      </c>
      <c r="L275" s="380">
        <v>0.31286388658669878</v>
      </c>
      <c r="M275" s="296">
        <f t="shared" si="122"/>
        <v>5.3405894568628154E-2</v>
      </c>
      <c r="N275" s="298">
        <f t="shared" si="123"/>
        <v>4.8914626055465829E-2</v>
      </c>
      <c r="O275" s="344">
        <v>0</v>
      </c>
      <c r="P275" s="345">
        <v>7.0624976496840139E-4</v>
      </c>
      <c r="Q275" s="345">
        <v>9.9250979077977045E-2</v>
      </c>
      <c r="R275" s="345">
        <v>0.17934131637769016</v>
      </c>
      <c r="S275" s="345">
        <v>0.21020377308801039</v>
      </c>
      <c r="T275" s="345">
        <v>0.23298427810949288</v>
      </c>
      <c r="U275" s="345">
        <v>0.2397499931887638</v>
      </c>
      <c r="V275" s="345">
        <v>0.29783586327474609</v>
      </c>
      <c r="W275" s="345">
        <v>0.30267034590758141</v>
      </c>
      <c r="X275" s="345">
        <v>0.30682191860204761</v>
      </c>
      <c r="Y275" s="380">
        <v>0.31286388658669878</v>
      </c>
      <c r="Z275" s="296">
        <f t="shared" si="124"/>
        <v>0.18865479450895484</v>
      </c>
      <c r="AA275" s="298">
        <f t="shared" si="125"/>
        <v>0.17144080480551055</v>
      </c>
      <c r="AB275" s="948">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49">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1226">
        <f t="shared" si="135"/>
        <v>0</v>
      </c>
      <c r="AE275" s="937">
        <f t="shared" si="132"/>
        <v>5.3405894568628154E-2</v>
      </c>
      <c r="AF275" s="937">
        <f t="shared" si="133"/>
        <v>0.18865479450895484</v>
      </c>
      <c r="AG275" s="937">
        <f t="shared" si="134"/>
        <v>0.24206068907758299</v>
      </c>
      <c r="AH275" s="1172">
        <f t="shared" si="130"/>
        <v>0.22063018481910956</v>
      </c>
      <c r="AI275" s="937">
        <f t="shared" si="131"/>
        <v>0.77936981518089044</v>
      </c>
    </row>
    <row r="276" spans="1:43" ht="13.5" thickBot="1" x14ac:dyDescent="0.25">
      <c r="A276" s="328">
        <v>2050</v>
      </c>
      <c r="B276" s="346">
        <v>0</v>
      </c>
      <c r="C276" s="347">
        <v>1.1905555469898135E-3</v>
      </c>
      <c r="D276" s="347">
        <v>9.6755400036843783E-2</v>
      </c>
      <c r="E276" s="347">
        <v>0.18128946576163291</v>
      </c>
      <c r="F276" s="347">
        <v>0.21576588426265317</v>
      </c>
      <c r="G276" s="347">
        <v>0.22755728905933109</v>
      </c>
      <c r="H276" s="347">
        <v>0.23674206281114615</v>
      </c>
      <c r="I276" s="347">
        <v>0.30057898994447901</v>
      </c>
      <c r="J276" s="347">
        <v>0.30960974947891823</v>
      </c>
      <c r="K276" s="347">
        <v>0.31304418242400461</v>
      </c>
      <c r="L276" s="381">
        <v>0.31743561346395804</v>
      </c>
      <c r="M276" s="310">
        <f t="shared" si="122"/>
        <v>5.608227565669395E-2</v>
      </c>
      <c r="N276" s="312">
        <f t="shared" si="123"/>
        <v>5.2016409714431562E-2</v>
      </c>
      <c r="O276" s="346">
        <v>0</v>
      </c>
      <c r="P276" s="347">
        <v>4.8385964182471788E-3</v>
      </c>
      <c r="Q276" s="347">
        <v>0.13706654783160149</v>
      </c>
      <c r="R276" s="347">
        <v>0.19657181913163468</v>
      </c>
      <c r="S276" s="347">
        <v>0.22550910817740724</v>
      </c>
      <c r="T276" s="347">
        <v>0.23729826850211835</v>
      </c>
      <c r="U276" s="347">
        <v>0.24392433922191964</v>
      </c>
      <c r="V276" s="347">
        <v>0.30960974947891823</v>
      </c>
      <c r="W276" s="347">
        <v>0.31304418242400461</v>
      </c>
      <c r="X276" s="347">
        <v>0.31568052728160184</v>
      </c>
      <c r="Y276" s="381">
        <v>0.31743561346395804</v>
      </c>
      <c r="Z276" s="310">
        <f t="shared" si="124"/>
        <v>0.19478935118190149</v>
      </c>
      <c r="AA276" s="312">
        <f t="shared" si="125"/>
        <v>0.17815720862344864</v>
      </c>
      <c r="AB276" s="950">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51">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1227">
        <f t="shared" si="135"/>
        <v>0</v>
      </c>
      <c r="AE276" s="937">
        <f t="shared" si="132"/>
        <v>5.608227565669395E-2</v>
      </c>
      <c r="AF276" s="937">
        <f t="shared" si="133"/>
        <v>0.19478935118190149</v>
      </c>
      <c r="AG276" s="937">
        <f t="shared" si="134"/>
        <v>0.25087162683859543</v>
      </c>
      <c r="AH276" s="1172">
        <f t="shared" si="130"/>
        <v>0.22354969497118896</v>
      </c>
      <c r="AI276" s="937">
        <f t="shared" si="131"/>
        <v>0.77645030502881107</v>
      </c>
    </row>
    <row r="277" spans="1:43" x14ac:dyDescent="0.2">
      <c r="B277" s="227" t="str">
        <f>B$120</f>
        <v>Output generated: 8/27/2020 18:37</v>
      </c>
      <c r="U277" s="227" t="str">
        <f>U$120</f>
        <v>Output generated: 8/27/2020 18:37</v>
      </c>
      <c r="AE277" s="937"/>
      <c r="AF277" s="937"/>
      <c r="AG277" s="937"/>
      <c r="AH277" s="937"/>
      <c r="AI277" s="937"/>
    </row>
    <row r="278" spans="1:43" x14ac:dyDescent="0.2">
      <c r="AE278" s="937"/>
      <c r="AF278" s="937"/>
      <c r="AG278" s="937"/>
      <c r="AH278" s="937"/>
      <c r="AI278" s="937"/>
    </row>
    <row r="279" spans="1:43" ht="13.5" thickBot="1" x14ac:dyDescent="0.25">
      <c r="AE279" s="937"/>
      <c r="AF279" s="937"/>
      <c r="AG279" s="937"/>
      <c r="AH279" s="937"/>
      <c r="AI279" s="937"/>
    </row>
    <row r="280" spans="1:43" ht="15" x14ac:dyDescent="0.25">
      <c r="A280" s="333"/>
      <c r="B280" s="613" t="s">
        <v>214</v>
      </c>
      <c r="C280" s="614"/>
      <c r="D280" s="614"/>
      <c r="E280" s="614"/>
      <c r="F280" s="614"/>
      <c r="G280" s="614"/>
      <c r="H280" s="614"/>
      <c r="I280" s="614"/>
      <c r="J280" s="614"/>
      <c r="K280" s="614"/>
      <c r="L280" s="614"/>
      <c r="M280" s="614"/>
      <c r="N280" s="615"/>
      <c r="O280" s="613" t="s">
        <v>215</v>
      </c>
      <c r="P280" s="614"/>
      <c r="Q280" s="614"/>
      <c r="R280" s="614"/>
      <c r="S280" s="614"/>
      <c r="T280" s="614"/>
      <c r="U280" s="614"/>
      <c r="V280" s="614"/>
      <c r="W280" s="614"/>
      <c r="X280" s="614"/>
      <c r="Y280" s="614"/>
      <c r="Z280" s="614"/>
      <c r="AA280" s="615"/>
      <c r="AE280" s="937"/>
      <c r="AF280" s="937"/>
      <c r="AG280" s="937"/>
      <c r="AH280" s="937"/>
      <c r="AI280" s="937"/>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7"/>
      <c r="AF281" s="937"/>
      <c r="AG281" s="937"/>
      <c r="AH281" s="937"/>
      <c r="AI281" s="937"/>
    </row>
    <row r="282" spans="1:43" ht="13.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3" t="s">
        <v>267</v>
      </c>
      <c r="AD282" s="234" t="b">
        <f>INDEX(TECH_OPT_FUEL2_Cls1,MATCH(RIGHT(O280),TECH_OPT_ROWS_Cls1,0))&lt;&gt;"N/A"</f>
        <v>0</v>
      </c>
      <c r="AE282" s="937"/>
      <c r="AF282" s="937"/>
      <c r="AG282" s="937"/>
      <c r="AH282" s="937"/>
      <c r="AI282" s="937"/>
    </row>
    <row r="283" spans="1:43" ht="14.25"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6"/>
      <c r="AC283" s="903" t="s">
        <v>268</v>
      </c>
      <c r="AD283" s="234">
        <f>MATCH(RIGHT(O280),TECH_OPT_ROWS_Cls1,0)</f>
        <v>6</v>
      </c>
      <c r="AE283" s="937"/>
      <c r="AF283" s="937"/>
      <c r="AG283" s="937"/>
      <c r="AH283" s="937"/>
      <c r="AI283" s="937"/>
    </row>
    <row r="284" spans="1:43" x14ac:dyDescent="0.2">
      <c r="A284" s="331" t="s">
        <v>125</v>
      </c>
      <c r="B284" s="938">
        <f t="array" ref="B284:L284">TRANSPOSE(Cls1CentVMTShr)</f>
        <v>8.9762242961142352E-4</v>
      </c>
      <c r="C284" s="939">
        <v>1.2044238150123706E-3</v>
      </c>
      <c r="D284" s="939">
        <v>4.1499109643594731E-3</v>
      </c>
      <c r="E284" s="939">
        <v>1.9575808105519295E-2</v>
      </c>
      <c r="F284" s="939">
        <v>3.4523467949689302E-2</v>
      </c>
      <c r="G284" s="939">
        <v>2.7311948935134379E-2</v>
      </c>
      <c r="H284" s="939">
        <v>7.6478458482655817E-2</v>
      </c>
      <c r="I284" s="939">
        <v>3.2480526319280681E-2</v>
      </c>
      <c r="J284" s="939">
        <v>1.1772940427842455E-2</v>
      </c>
      <c r="K284" s="939">
        <v>6.0339283082965706E-3</v>
      </c>
      <c r="L284" s="940">
        <v>1.5952440951210019E-2</v>
      </c>
      <c r="M284" s="388"/>
      <c r="N284" s="334"/>
      <c r="O284" s="938">
        <f t="array" ref="O284:Y284">TRANSPOSE(Cls1NCentVMTShr)</f>
        <v>1.3589913425833078E-3</v>
      </c>
      <c r="P284" s="939">
        <v>5.8692629772239642E-3</v>
      </c>
      <c r="Q284" s="939">
        <v>1.2100393581509007E-2</v>
      </c>
      <c r="R284" s="939">
        <v>3.6555003327388577E-2</v>
      </c>
      <c r="S284" s="939">
        <v>8.3148735051829181E-2</v>
      </c>
      <c r="T284" s="939">
        <v>0.18151138394047112</v>
      </c>
      <c r="U284" s="939">
        <v>0.2383386372324876</v>
      </c>
      <c r="V284" s="939">
        <v>9.5602564448196578E-2</v>
      </c>
      <c r="W284" s="939">
        <v>2.9193025028929166E-2</v>
      </c>
      <c r="X284" s="939">
        <v>3.5209492159336005E-2</v>
      </c>
      <c r="Y284" s="940">
        <v>5.0731034221433824E-2</v>
      </c>
      <c r="Z284" s="388"/>
      <c r="AA284" s="334"/>
      <c r="AB284" s="1551" t="str">
        <f>"% of miles on f2 for Tech "&amp; RIGHT(O280)&amp;" adopters"</f>
        <v>% of miles on f2 for Tech E adopters</v>
      </c>
      <c r="AC284" s="1552"/>
      <c r="AD284" s="1553"/>
      <c r="AE284" s="937" t="s">
        <v>300</v>
      </c>
      <c r="AF284" s="937"/>
      <c r="AG284" s="937"/>
      <c r="AH284" s="1172" t="s">
        <v>311</v>
      </c>
      <c r="AI284" s="937"/>
    </row>
    <row r="285" spans="1:43" s="944" customFormat="1" ht="13.5" thickBot="1" x14ac:dyDescent="0.25">
      <c r="A285" s="942" t="s">
        <v>266</v>
      </c>
      <c r="B285" s="933">
        <f t="array" ref="B285:L285">TRANSPOSE(Cls1CentVMT/OPDAYS_Cls1)</f>
        <v>51.642967609234425</v>
      </c>
      <c r="C285" s="934">
        <v>110.97733417848234</v>
      </c>
      <c r="D285" s="934">
        <v>204.40224583551472</v>
      </c>
      <c r="E285" s="934">
        <v>290.24610572847212</v>
      </c>
      <c r="F285" s="934">
        <v>364.75750419264841</v>
      </c>
      <c r="G285" s="934">
        <v>443.63126889109378</v>
      </c>
      <c r="H285" s="934">
        <v>506.78134229373978</v>
      </c>
      <c r="I285" s="934">
        <v>595.71283413609137</v>
      </c>
      <c r="J285" s="934">
        <v>682.23089916089702</v>
      </c>
      <c r="K285" s="934">
        <v>765.26438827532684</v>
      </c>
      <c r="L285" s="935">
        <v>970.27871027310334</v>
      </c>
      <c r="M285" s="931"/>
      <c r="N285" s="932"/>
      <c r="O285" s="933">
        <f t="array" ref="O285:Y285">TRANSPOSE(Cls1NCentVMT/OPDAYS_Cls1)</f>
        <v>47.924548633512046</v>
      </c>
      <c r="P285" s="934">
        <v>112.56389213862748</v>
      </c>
      <c r="Q285" s="934">
        <v>214.67280220238027</v>
      </c>
      <c r="R285" s="934">
        <v>288.30186744262801</v>
      </c>
      <c r="S285" s="934">
        <v>368.60089210549245</v>
      </c>
      <c r="T285" s="934">
        <v>447.31558789932524</v>
      </c>
      <c r="U285" s="934">
        <v>511.28831950097862</v>
      </c>
      <c r="V285" s="934">
        <v>595.73726658362273</v>
      </c>
      <c r="W285" s="934">
        <v>672.11099195240695</v>
      </c>
      <c r="X285" s="934">
        <v>757.0793017898726</v>
      </c>
      <c r="Y285" s="935">
        <v>896.16800791754974</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c r="AN285" s="227"/>
      <c r="AO285" s="227"/>
      <c r="AP285" s="227"/>
      <c r="AQ285" s="227"/>
    </row>
    <row r="286" spans="1:43" ht="13.5" thickTop="1" x14ac:dyDescent="0.2">
      <c r="A286" s="941">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8">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49">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6">
        <f t="shared" ref="AD286:AD311" si="140">AB286*AH286+AC286*AI286</f>
        <v>0</v>
      </c>
      <c r="AE286" s="937">
        <f t="shared" ref="AE286:AE300" si="141">SUMPRODUCT($B$74:$L$74,B286:L286)</f>
        <v>0</v>
      </c>
      <c r="AF286" s="937">
        <f t="shared" ref="AF286:AF300" si="142">SUMPRODUCT($O$74:$Y$74,O286:Y286)</f>
        <v>0</v>
      </c>
      <c r="AG286" s="937">
        <f t="shared" ref="AG286:AG300" si="143">SUM(AE286:AF286)</f>
        <v>0</v>
      </c>
      <c r="AH286" s="1172">
        <f>IF(AG286&gt;0,AE286/AG286,0)</f>
        <v>0</v>
      </c>
      <c r="AI286" s="937">
        <f>IF(AG286&gt;0,AF286/AG286,0)</f>
        <v>0</v>
      </c>
      <c r="AJ286" s="944"/>
      <c r="AK286" s="944"/>
      <c r="AL286" s="944"/>
      <c r="AM286" s="944"/>
      <c r="AN286" s="944"/>
      <c r="AO286" s="944"/>
      <c r="AP286" s="944"/>
      <c r="AQ286" s="944"/>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8">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49">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6">
        <f t="shared" si="140"/>
        <v>0</v>
      </c>
      <c r="AE287" s="937">
        <f t="shared" si="141"/>
        <v>0</v>
      </c>
      <c r="AF287" s="937">
        <f t="shared" si="142"/>
        <v>0</v>
      </c>
      <c r="AG287" s="937">
        <f t="shared" si="143"/>
        <v>0</v>
      </c>
      <c r="AH287" s="1172">
        <f t="shared" ref="AH287:AH329" si="144">IF(AG287&gt;0,AE287/AG287,0)</f>
        <v>0</v>
      </c>
      <c r="AI287" s="937">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8">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49">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6">
        <f t="shared" si="140"/>
        <v>0</v>
      </c>
      <c r="AE288" s="937">
        <f t="shared" si="141"/>
        <v>0</v>
      </c>
      <c r="AF288" s="937">
        <f t="shared" si="142"/>
        <v>0</v>
      </c>
      <c r="AG288" s="937">
        <f t="shared" si="143"/>
        <v>0</v>
      </c>
      <c r="AH288" s="1172">
        <f t="shared" si="144"/>
        <v>0</v>
      </c>
      <c r="AI288" s="937">
        <f t="shared" si="145"/>
        <v>0</v>
      </c>
    </row>
    <row r="289" spans="1:35" ht="13.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8">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49">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6">
        <f t="shared" si="140"/>
        <v>0</v>
      </c>
      <c r="AE289" s="937">
        <f t="shared" si="141"/>
        <v>0</v>
      </c>
      <c r="AF289" s="937">
        <f t="shared" si="142"/>
        <v>0</v>
      </c>
      <c r="AG289" s="937">
        <f t="shared" si="143"/>
        <v>0</v>
      </c>
      <c r="AH289" s="1172">
        <f t="shared" si="144"/>
        <v>0</v>
      </c>
      <c r="AI289" s="937">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8">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49">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6">
        <f t="shared" si="140"/>
        <v>0</v>
      </c>
      <c r="AE290" s="937">
        <f t="shared" si="141"/>
        <v>0</v>
      </c>
      <c r="AF290" s="937">
        <f t="shared" si="142"/>
        <v>0</v>
      </c>
      <c r="AG290" s="937">
        <f t="shared" si="143"/>
        <v>0</v>
      </c>
      <c r="AH290" s="1172">
        <f t="shared" si="144"/>
        <v>0</v>
      </c>
      <c r="AI290" s="937">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8">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49">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6">
        <f t="shared" si="140"/>
        <v>0</v>
      </c>
      <c r="AE291" s="937">
        <f t="shared" si="141"/>
        <v>0</v>
      </c>
      <c r="AF291" s="937">
        <f t="shared" si="142"/>
        <v>0</v>
      </c>
      <c r="AG291" s="937">
        <f t="shared" si="143"/>
        <v>0</v>
      </c>
      <c r="AH291" s="1172">
        <f t="shared" si="144"/>
        <v>0</v>
      </c>
      <c r="AI291" s="937">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8">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49">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6">
        <f t="shared" si="140"/>
        <v>0</v>
      </c>
      <c r="AE292" s="937">
        <f t="shared" si="141"/>
        <v>0</v>
      </c>
      <c r="AF292" s="937">
        <f t="shared" si="142"/>
        <v>0</v>
      </c>
      <c r="AG292" s="937">
        <f t="shared" si="143"/>
        <v>0</v>
      </c>
      <c r="AH292" s="1172">
        <f t="shared" si="144"/>
        <v>0</v>
      </c>
      <c r="AI292" s="937">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8">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49">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6">
        <f t="shared" si="140"/>
        <v>0</v>
      </c>
      <c r="AE293" s="937">
        <f t="shared" si="141"/>
        <v>0</v>
      </c>
      <c r="AF293" s="937">
        <f t="shared" si="142"/>
        <v>0</v>
      </c>
      <c r="AG293" s="937">
        <f t="shared" si="143"/>
        <v>0</v>
      </c>
      <c r="AH293" s="1172">
        <f t="shared" si="144"/>
        <v>0</v>
      </c>
      <c r="AI293" s="937">
        <f t="shared" si="145"/>
        <v>0</v>
      </c>
    </row>
    <row r="294" spans="1:35" ht="13.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8">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49">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6">
        <f t="shared" si="140"/>
        <v>0</v>
      </c>
      <c r="AE294" s="937">
        <f t="shared" si="141"/>
        <v>0</v>
      </c>
      <c r="AF294" s="937">
        <f t="shared" si="142"/>
        <v>0</v>
      </c>
      <c r="AG294" s="937">
        <f t="shared" si="143"/>
        <v>0</v>
      </c>
      <c r="AH294" s="1172">
        <f t="shared" si="144"/>
        <v>0</v>
      </c>
      <c r="AI294" s="937">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8">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49">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6">
        <f t="shared" si="140"/>
        <v>0</v>
      </c>
      <c r="AE295" s="937">
        <f t="shared" si="141"/>
        <v>0</v>
      </c>
      <c r="AF295" s="937">
        <f t="shared" si="142"/>
        <v>0</v>
      </c>
      <c r="AG295" s="937">
        <f t="shared" si="143"/>
        <v>0</v>
      </c>
      <c r="AH295" s="1172">
        <f t="shared" si="144"/>
        <v>0</v>
      </c>
      <c r="AI295" s="937">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8">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49">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6">
        <f t="shared" si="140"/>
        <v>0</v>
      </c>
      <c r="AE296" s="937">
        <f t="shared" si="141"/>
        <v>0</v>
      </c>
      <c r="AF296" s="937">
        <f t="shared" si="142"/>
        <v>0</v>
      </c>
      <c r="AG296" s="937">
        <f t="shared" si="143"/>
        <v>0</v>
      </c>
      <c r="AH296" s="1172">
        <f t="shared" si="144"/>
        <v>0</v>
      </c>
      <c r="AI296" s="937">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8">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49">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6">
        <f t="shared" si="140"/>
        <v>0</v>
      </c>
      <c r="AE297" s="937">
        <f t="shared" si="141"/>
        <v>0</v>
      </c>
      <c r="AF297" s="937">
        <f t="shared" si="142"/>
        <v>0</v>
      </c>
      <c r="AG297" s="937">
        <f t="shared" si="143"/>
        <v>0</v>
      </c>
      <c r="AH297" s="1172">
        <f t="shared" si="144"/>
        <v>0</v>
      </c>
      <c r="AI297" s="937">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8">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49">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6">
        <f t="shared" si="140"/>
        <v>0</v>
      </c>
      <c r="AE298" s="937">
        <f t="shared" si="141"/>
        <v>0</v>
      </c>
      <c r="AF298" s="937">
        <f t="shared" si="142"/>
        <v>0</v>
      </c>
      <c r="AG298" s="937">
        <f t="shared" si="143"/>
        <v>0</v>
      </c>
      <c r="AH298" s="1172">
        <f t="shared" si="144"/>
        <v>0</v>
      </c>
      <c r="AI298" s="937">
        <f t="shared" si="145"/>
        <v>0</v>
      </c>
    </row>
    <row r="299" spans="1:35" ht="13.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8">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49">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6">
        <f t="shared" si="140"/>
        <v>0</v>
      </c>
      <c r="AE299" s="937">
        <f t="shared" si="141"/>
        <v>0</v>
      </c>
      <c r="AF299" s="937">
        <f t="shared" si="142"/>
        <v>0</v>
      </c>
      <c r="AG299" s="937">
        <f t="shared" si="143"/>
        <v>0</v>
      </c>
      <c r="AH299" s="1172">
        <f t="shared" si="144"/>
        <v>0</v>
      </c>
      <c r="AI299" s="937">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8">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49">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6">
        <f t="shared" si="140"/>
        <v>0</v>
      </c>
      <c r="AE300" s="937">
        <f t="shared" si="141"/>
        <v>0</v>
      </c>
      <c r="AF300" s="937">
        <f t="shared" si="142"/>
        <v>0</v>
      </c>
      <c r="AG300" s="937">
        <f t="shared" si="143"/>
        <v>0</v>
      </c>
      <c r="AH300" s="1172">
        <f t="shared" si="144"/>
        <v>0</v>
      </c>
      <c r="AI300" s="937">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8">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49">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6">
        <f t="shared" si="140"/>
        <v>0</v>
      </c>
      <c r="AE301" s="937">
        <f>SUMPRODUCT($B$74:$L$74,B301:L301)</f>
        <v>0</v>
      </c>
      <c r="AF301" s="937">
        <f>SUMPRODUCT($O$74:$Y$74,O301:Y301)</f>
        <v>0</v>
      </c>
      <c r="AG301" s="937">
        <f>SUM(AE301:AF301)</f>
        <v>0</v>
      </c>
      <c r="AH301" s="1172">
        <f t="shared" si="144"/>
        <v>0</v>
      </c>
      <c r="AI301" s="937">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8">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49">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6">
        <f t="shared" si="140"/>
        <v>0</v>
      </c>
      <c r="AE302" s="937">
        <f t="shared" ref="AE302:AE329" si="146">SUMPRODUCT($B$74:$L$74,B302:L302)</f>
        <v>0</v>
      </c>
      <c r="AF302" s="937">
        <f t="shared" ref="AF302:AF329" si="147">SUMPRODUCT($O$74:$Y$74,O302:Y302)</f>
        <v>0</v>
      </c>
      <c r="AG302" s="937">
        <f t="shared" ref="AG302:AG329" si="148">SUM(AE302:AF302)</f>
        <v>0</v>
      </c>
      <c r="AH302" s="1172">
        <f t="shared" si="144"/>
        <v>0</v>
      </c>
      <c r="AI302" s="937">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8">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49">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6">
        <f t="shared" si="140"/>
        <v>0</v>
      </c>
      <c r="AE303" s="937">
        <f t="shared" si="146"/>
        <v>0</v>
      </c>
      <c r="AF303" s="937">
        <f t="shared" si="147"/>
        <v>0</v>
      </c>
      <c r="AG303" s="937">
        <f t="shared" si="148"/>
        <v>0</v>
      </c>
      <c r="AH303" s="1172">
        <f t="shared" si="144"/>
        <v>0</v>
      </c>
      <c r="AI303" s="937">
        <f t="shared" si="145"/>
        <v>0</v>
      </c>
    </row>
    <row r="304" spans="1:35" ht="13.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8">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49">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6">
        <f t="shared" si="140"/>
        <v>0</v>
      </c>
      <c r="AE304" s="937">
        <f t="shared" si="146"/>
        <v>0</v>
      </c>
      <c r="AF304" s="937">
        <f t="shared" si="147"/>
        <v>0</v>
      </c>
      <c r="AG304" s="937">
        <f t="shared" si="148"/>
        <v>0</v>
      </c>
      <c r="AH304" s="1172">
        <f t="shared" si="144"/>
        <v>0</v>
      </c>
      <c r="AI304" s="937">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8">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49">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6">
        <f t="shared" si="140"/>
        <v>0</v>
      </c>
      <c r="AE305" s="937">
        <f t="shared" si="146"/>
        <v>0</v>
      </c>
      <c r="AF305" s="937">
        <f t="shared" si="147"/>
        <v>0</v>
      </c>
      <c r="AG305" s="937">
        <f t="shared" si="148"/>
        <v>0</v>
      </c>
      <c r="AH305" s="1172">
        <f t="shared" si="144"/>
        <v>0</v>
      </c>
      <c r="AI305" s="937">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8">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49">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6">
        <f t="shared" si="140"/>
        <v>0</v>
      </c>
      <c r="AE306" s="937">
        <f t="shared" si="146"/>
        <v>0</v>
      </c>
      <c r="AF306" s="937">
        <f t="shared" si="147"/>
        <v>0</v>
      </c>
      <c r="AG306" s="937">
        <f t="shared" si="148"/>
        <v>0</v>
      </c>
      <c r="AH306" s="1172">
        <f t="shared" si="144"/>
        <v>0</v>
      </c>
      <c r="AI306" s="937">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8">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49">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6">
        <f t="shared" si="140"/>
        <v>0</v>
      </c>
      <c r="AE307" s="937">
        <f t="shared" si="146"/>
        <v>0</v>
      </c>
      <c r="AF307" s="937">
        <f t="shared" si="147"/>
        <v>0</v>
      </c>
      <c r="AG307" s="937">
        <f t="shared" si="148"/>
        <v>0</v>
      </c>
      <c r="AH307" s="1172">
        <f t="shared" si="144"/>
        <v>0</v>
      </c>
      <c r="AI307" s="937">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8">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49">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6">
        <f t="shared" si="140"/>
        <v>0</v>
      </c>
      <c r="AE308" s="937">
        <f t="shared" si="146"/>
        <v>0</v>
      </c>
      <c r="AF308" s="937">
        <f t="shared" si="147"/>
        <v>0</v>
      </c>
      <c r="AG308" s="937">
        <f t="shared" si="148"/>
        <v>0</v>
      </c>
      <c r="AH308" s="1172">
        <f t="shared" si="144"/>
        <v>0</v>
      </c>
      <c r="AI308" s="937">
        <f t="shared" si="145"/>
        <v>0</v>
      </c>
    </row>
    <row r="309" spans="1:35" ht="13.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8">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49">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6">
        <f t="shared" si="140"/>
        <v>0</v>
      </c>
      <c r="AE309" s="937">
        <f t="shared" si="146"/>
        <v>0</v>
      </c>
      <c r="AF309" s="937">
        <f t="shared" si="147"/>
        <v>0</v>
      </c>
      <c r="AG309" s="937">
        <f t="shared" si="148"/>
        <v>0</v>
      </c>
      <c r="AH309" s="1172">
        <f t="shared" si="144"/>
        <v>0</v>
      </c>
      <c r="AI309" s="937">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8">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49">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6">
        <f t="shared" si="140"/>
        <v>0</v>
      </c>
      <c r="AE310" s="937">
        <f t="shared" si="146"/>
        <v>0</v>
      </c>
      <c r="AF310" s="937">
        <f t="shared" si="147"/>
        <v>0</v>
      </c>
      <c r="AG310" s="937">
        <f t="shared" si="148"/>
        <v>0</v>
      </c>
      <c r="AH310" s="1172">
        <f t="shared" si="144"/>
        <v>0</v>
      </c>
      <c r="AI310" s="937">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8">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49">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6">
        <f t="shared" si="140"/>
        <v>0</v>
      </c>
      <c r="AE311" s="937">
        <f t="shared" si="146"/>
        <v>0</v>
      </c>
      <c r="AF311" s="937">
        <f t="shared" si="147"/>
        <v>0</v>
      </c>
      <c r="AG311" s="937">
        <f t="shared" si="148"/>
        <v>0</v>
      </c>
      <c r="AH311" s="1172">
        <f t="shared" si="144"/>
        <v>0</v>
      </c>
      <c r="AI311" s="937">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8">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49">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6">
        <f>AB312*AH312+AC312*AI312</f>
        <v>0</v>
      </c>
      <c r="AE312" s="937">
        <f t="shared" si="146"/>
        <v>0</v>
      </c>
      <c r="AF312" s="937">
        <f t="shared" si="147"/>
        <v>0</v>
      </c>
      <c r="AG312" s="937">
        <f t="shared" si="148"/>
        <v>0</v>
      </c>
      <c r="AH312" s="1172">
        <f t="shared" si="144"/>
        <v>0</v>
      </c>
      <c r="AI312" s="937">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8">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49">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6">
        <f t="shared" ref="AD313:AD329" si="149">AB313*AH313+AC313*AI313</f>
        <v>0</v>
      </c>
      <c r="AE313" s="937">
        <f t="shared" si="146"/>
        <v>0</v>
      </c>
      <c r="AF313" s="937">
        <f t="shared" si="147"/>
        <v>0</v>
      </c>
      <c r="AG313" s="937">
        <f t="shared" si="148"/>
        <v>0</v>
      </c>
      <c r="AH313" s="1172">
        <f t="shared" si="144"/>
        <v>0</v>
      </c>
      <c r="AI313" s="937">
        <f t="shared" si="145"/>
        <v>0</v>
      </c>
    </row>
    <row r="314" spans="1:35" ht="13.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8">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49">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6">
        <f t="shared" si="149"/>
        <v>0</v>
      </c>
      <c r="AE314" s="937">
        <f t="shared" si="146"/>
        <v>0</v>
      </c>
      <c r="AF314" s="937">
        <f t="shared" si="147"/>
        <v>0</v>
      </c>
      <c r="AG314" s="937">
        <f t="shared" si="148"/>
        <v>0</v>
      </c>
      <c r="AH314" s="1172">
        <f t="shared" si="144"/>
        <v>0</v>
      </c>
      <c r="AI314" s="937">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8">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49">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6">
        <f t="shared" si="149"/>
        <v>0</v>
      </c>
      <c r="AE315" s="937">
        <f t="shared" si="146"/>
        <v>0</v>
      </c>
      <c r="AF315" s="937">
        <f t="shared" si="147"/>
        <v>0</v>
      </c>
      <c r="AG315" s="937">
        <f t="shared" si="148"/>
        <v>0</v>
      </c>
      <c r="AH315" s="1172">
        <f t="shared" si="144"/>
        <v>0</v>
      </c>
      <c r="AI315" s="937">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0</v>
      </c>
      <c r="Y316" s="380">
        <v>0</v>
      </c>
      <c r="Z316" s="296">
        <f t="shared" si="138"/>
        <v>0</v>
      </c>
      <c r="AA316" s="298">
        <f t="shared" si="139"/>
        <v>0</v>
      </c>
      <c r="AB316" s="948">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49">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6">
        <f t="shared" si="149"/>
        <v>0</v>
      </c>
      <c r="AE316" s="937">
        <f t="shared" si="146"/>
        <v>0</v>
      </c>
      <c r="AF316" s="937">
        <f t="shared" si="147"/>
        <v>0</v>
      </c>
      <c r="AG316" s="937">
        <f t="shared" si="148"/>
        <v>0</v>
      </c>
      <c r="AH316" s="1172">
        <f t="shared" si="144"/>
        <v>0</v>
      </c>
      <c r="AI316" s="937">
        <f t="shared" si="14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6"/>
        <v>0</v>
      </c>
      <c r="N317" s="298">
        <f t="shared" si="137"/>
        <v>0</v>
      </c>
      <c r="O317" s="344">
        <v>0</v>
      </c>
      <c r="P317" s="345">
        <v>0</v>
      </c>
      <c r="Q317" s="345">
        <v>0</v>
      </c>
      <c r="R317" s="345">
        <v>0</v>
      </c>
      <c r="S317" s="345">
        <v>0</v>
      </c>
      <c r="T317" s="345">
        <v>0</v>
      </c>
      <c r="U317" s="345">
        <v>0</v>
      </c>
      <c r="V317" s="345">
        <v>0</v>
      </c>
      <c r="W317" s="345">
        <v>0</v>
      </c>
      <c r="X317" s="345">
        <v>0</v>
      </c>
      <c r="Y317" s="380">
        <v>0</v>
      </c>
      <c r="Z317" s="296">
        <f t="shared" si="138"/>
        <v>0</v>
      </c>
      <c r="AA317" s="298">
        <f t="shared" si="139"/>
        <v>0</v>
      </c>
      <c r="AB317" s="948">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49">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6">
        <f t="shared" si="149"/>
        <v>0</v>
      </c>
      <c r="AE317" s="937">
        <f t="shared" si="146"/>
        <v>0</v>
      </c>
      <c r="AF317" s="937">
        <f t="shared" si="147"/>
        <v>0</v>
      </c>
      <c r="AG317" s="937">
        <f t="shared" si="148"/>
        <v>0</v>
      </c>
      <c r="AH317" s="1172">
        <f t="shared" si="144"/>
        <v>0</v>
      </c>
      <c r="AI317" s="937">
        <f t="shared" si="14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6"/>
        <v>0</v>
      </c>
      <c r="N318" s="298">
        <f t="shared" si="137"/>
        <v>0</v>
      </c>
      <c r="O318" s="344">
        <v>0</v>
      </c>
      <c r="P318" s="345">
        <v>0</v>
      </c>
      <c r="Q318" s="345">
        <v>0</v>
      </c>
      <c r="R318" s="345">
        <v>0</v>
      </c>
      <c r="S318" s="345">
        <v>0</v>
      </c>
      <c r="T318" s="345">
        <v>0</v>
      </c>
      <c r="U318" s="345">
        <v>0</v>
      </c>
      <c r="V318" s="345">
        <v>0</v>
      </c>
      <c r="W318" s="345">
        <v>0</v>
      </c>
      <c r="X318" s="345">
        <v>0</v>
      </c>
      <c r="Y318" s="380">
        <v>0</v>
      </c>
      <c r="Z318" s="296">
        <f t="shared" si="138"/>
        <v>0</v>
      </c>
      <c r="AA318" s="298">
        <f t="shared" si="139"/>
        <v>0</v>
      </c>
      <c r="AB318" s="948">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49">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6">
        <f t="shared" si="149"/>
        <v>0</v>
      </c>
      <c r="AE318" s="937">
        <f t="shared" si="146"/>
        <v>0</v>
      </c>
      <c r="AF318" s="937">
        <f t="shared" si="147"/>
        <v>0</v>
      </c>
      <c r="AG318" s="937">
        <f t="shared" si="148"/>
        <v>0</v>
      </c>
      <c r="AH318" s="1172">
        <f t="shared" si="144"/>
        <v>0</v>
      </c>
      <c r="AI318" s="937">
        <f t="shared" si="145"/>
        <v>0</v>
      </c>
    </row>
    <row r="319" spans="1:35" ht="13.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36"/>
        <v>0</v>
      </c>
      <c r="N319" s="312">
        <f t="shared" si="137"/>
        <v>0</v>
      </c>
      <c r="O319" s="346">
        <v>0</v>
      </c>
      <c r="P319" s="347">
        <v>0</v>
      </c>
      <c r="Q319" s="347">
        <v>0</v>
      </c>
      <c r="R319" s="347">
        <v>0</v>
      </c>
      <c r="S319" s="347">
        <v>0</v>
      </c>
      <c r="T319" s="347">
        <v>0</v>
      </c>
      <c r="U319" s="347">
        <v>0</v>
      </c>
      <c r="V319" s="347">
        <v>0</v>
      </c>
      <c r="W319" s="347">
        <v>0</v>
      </c>
      <c r="X319" s="347">
        <v>0</v>
      </c>
      <c r="Y319" s="381">
        <v>0</v>
      </c>
      <c r="Z319" s="310">
        <f t="shared" si="138"/>
        <v>0</v>
      </c>
      <c r="AA319" s="312">
        <f t="shared" si="139"/>
        <v>0</v>
      </c>
      <c r="AB319" s="948">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49">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6">
        <f t="shared" si="149"/>
        <v>0</v>
      </c>
      <c r="AE319" s="937">
        <f t="shared" si="146"/>
        <v>0</v>
      </c>
      <c r="AF319" s="937">
        <f t="shared" si="147"/>
        <v>0</v>
      </c>
      <c r="AG319" s="937">
        <f t="shared" si="148"/>
        <v>0</v>
      </c>
      <c r="AH319" s="1172">
        <f t="shared" si="144"/>
        <v>0</v>
      </c>
      <c r="AI319" s="937">
        <f t="shared" si="14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36"/>
        <v>0</v>
      </c>
      <c r="N320" s="284">
        <f t="shared" si="137"/>
        <v>0</v>
      </c>
      <c r="O320" s="342">
        <v>0</v>
      </c>
      <c r="P320" s="343">
        <v>0</v>
      </c>
      <c r="Q320" s="343">
        <v>0</v>
      </c>
      <c r="R320" s="343">
        <v>0</v>
      </c>
      <c r="S320" s="343">
        <v>0</v>
      </c>
      <c r="T320" s="343">
        <v>0</v>
      </c>
      <c r="U320" s="343">
        <v>0</v>
      </c>
      <c r="V320" s="343">
        <v>0</v>
      </c>
      <c r="W320" s="343">
        <v>0</v>
      </c>
      <c r="X320" s="343">
        <v>0</v>
      </c>
      <c r="Y320" s="379">
        <v>0</v>
      </c>
      <c r="Z320" s="282">
        <f t="shared" si="138"/>
        <v>0</v>
      </c>
      <c r="AA320" s="284">
        <f t="shared" si="139"/>
        <v>0</v>
      </c>
      <c r="AB320" s="948">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49">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6">
        <f t="shared" si="149"/>
        <v>0</v>
      </c>
      <c r="AE320" s="937">
        <f t="shared" si="146"/>
        <v>0</v>
      </c>
      <c r="AF320" s="937">
        <f t="shared" si="147"/>
        <v>0</v>
      </c>
      <c r="AG320" s="937">
        <f t="shared" si="148"/>
        <v>0</v>
      </c>
      <c r="AH320" s="1172">
        <f t="shared" si="144"/>
        <v>0</v>
      </c>
      <c r="AI320" s="937">
        <f t="shared" si="14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36"/>
        <v>0</v>
      </c>
      <c r="N321" s="298">
        <f t="shared" si="137"/>
        <v>0</v>
      </c>
      <c r="O321" s="344">
        <v>0</v>
      </c>
      <c r="P321" s="345">
        <v>0</v>
      </c>
      <c r="Q321" s="345">
        <v>0</v>
      </c>
      <c r="R321" s="345">
        <v>0</v>
      </c>
      <c r="S321" s="345">
        <v>0</v>
      </c>
      <c r="T321" s="345">
        <v>0</v>
      </c>
      <c r="U321" s="345">
        <v>0</v>
      </c>
      <c r="V321" s="345">
        <v>0</v>
      </c>
      <c r="W321" s="345">
        <v>0</v>
      </c>
      <c r="X321" s="345">
        <v>0</v>
      </c>
      <c r="Y321" s="380">
        <v>0</v>
      </c>
      <c r="Z321" s="296">
        <f t="shared" si="138"/>
        <v>0</v>
      </c>
      <c r="AA321" s="298">
        <f t="shared" si="139"/>
        <v>0</v>
      </c>
      <c r="AB321" s="948">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49">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6">
        <f t="shared" si="149"/>
        <v>0</v>
      </c>
      <c r="AE321" s="937">
        <f t="shared" si="146"/>
        <v>0</v>
      </c>
      <c r="AF321" s="937">
        <f t="shared" si="147"/>
        <v>0</v>
      </c>
      <c r="AG321" s="937">
        <f t="shared" si="148"/>
        <v>0</v>
      </c>
      <c r="AH321" s="1172">
        <f t="shared" si="144"/>
        <v>0</v>
      </c>
      <c r="AI321" s="937">
        <f t="shared" si="14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36"/>
        <v>0</v>
      </c>
      <c r="N322" s="298">
        <f t="shared" si="137"/>
        <v>0</v>
      </c>
      <c r="O322" s="344">
        <v>0</v>
      </c>
      <c r="P322" s="345">
        <v>0</v>
      </c>
      <c r="Q322" s="345">
        <v>0</v>
      </c>
      <c r="R322" s="345">
        <v>0</v>
      </c>
      <c r="S322" s="345">
        <v>0</v>
      </c>
      <c r="T322" s="345">
        <v>0</v>
      </c>
      <c r="U322" s="345">
        <v>0</v>
      </c>
      <c r="V322" s="345">
        <v>0</v>
      </c>
      <c r="W322" s="345">
        <v>0</v>
      </c>
      <c r="X322" s="345">
        <v>0</v>
      </c>
      <c r="Y322" s="380">
        <v>0</v>
      </c>
      <c r="Z322" s="296">
        <f t="shared" si="138"/>
        <v>0</v>
      </c>
      <c r="AA322" s="298">
        <f t="shared" si="139"/>
        <v>0</v>
      </c>
      <c r="AB322" s="948">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49">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6">
        <f t="shared" si="149"/>
        <v>0</v>
      </c>
      <c r="AE322" s="937">
        <f t="shared" si="146"/>
        <v>0</v>
      </c>
      <c r="AF322" s="937">
        <f t="shared" si="147"/>
        <v>0</v>
      </c>
      <c r="AG322" s="937">
        <f t="shared" si="148"/>
        <v>0</v>
      </c>
      <c r="AH322" s="1172">
        <f t="shared" si="144"/>
        <v>0</v>
      </c>
      <c r="AI322" s="937">
        <f t="shared" si="14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36"/>
        <v>0</v>
      </c>
      <c r="N323" s="298">
        <f t="shared" si="137"/>
        <v>0</v>
      </c>
      <c r="O323" s="344">
        <v>0</v>
      </c>
      <c r="P323" s="345">
        <v>0</v>
      </c>
      <c r="Q323" s="345">
        <v>0</v>
      </c>
      <c r="R323" s="345">
        <v>0</v>
      </c>
      <c r="S323" s="345">
        <v>0</v>
      </c>
      <c r="T323" s="345">
        <v>0</v>
      </c>
      <c r="U323" s="345">
        <v>0</v>
      </c>
      <c r="V323" s="345">
        <v>0</v>
      </c>
      <c r="W323" s="345">
        <v>0</v>
      </c>
      <c r="X323" s="345">
        <v>0</v>
      </c>
      <c r="Y323" s="380">
        <v>0</v>
      </c>
      <c r="Z323" s="296">
        <f t="shared" si="138"/>
        <v>0</v>
      </c>
      <c r="AA323" s="298">
        <f t="shared" si="139"/>
        <v>0</v>
      </c>
      <c r="AB323" s="948">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49">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6">
        <f t="shared" si="149"/>
        <v>0</v>
      </c>
      <c r="AE323" s="937">
        <f t="shared" si="146"/>
        <v>0</v>
      </c>
      <c r="AF323" s="937">
        <f t="shared" si="147"/>
        <v>0</v>
      </c>
      <c r="AG323" s="937">
        <f t="shared" si="148"/>
        <v>0</v>
      </c>
      <c r="AH323" s="1172">
        <f t="shared" si="144"/>
        <v>0</v>
      </c>
      <c r="AI323" s="937">
        <f t="shared" si="145"/>
        <v>0</v>
      </c>
    </row>
    <row r="324" spans="1:35" ht="13.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36"/>
        <v>0</v>
      </c>
      <c r="N324" s="312">
        <f t="shared" si="137"/>
        <v>0</v>
      </c>
      <c r="O324" s="346">
        <v>0</v>
      </c>
      <c r="P324" s="347">
        <v>0</v>
      </c>
      <c r="Q324" s="347">
        <v>0</v>
      </c>
      <c r="R324" s="347">
        <v>0</v>
      </c>
      <c r="S324" s="347">
        <v>0</v>
      </c>
      <c r="T324" s="347">
        <v>0</v>
      </c>
      <c r="U324" s="347">
        <v>0</v>
      </c>
      <c r="V324" s="347">
        <v>0</v>
      </c>
      <c r="W324" s="347">
        <v>0</v>
      </c>
      <c r="X324" s="347">
        <v>0</v>
      </c>
      <c r="Y324" s="381">
        <v>0</v>
      </c>
      <c r="Z324" s="310">
        <f t="shared" si="138"/>
        <v>0</v>
      </c>
      <c r="AA324" s="312">
        <f t="shared" si="139"/>
        <v>0</v>
      </c>
      <c r="AB324" s="948">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49">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6">
        <f t="shared" si="149"/>
        <v>0</v>
      </c>
      <c r="AE324" s="937">
        <f t="shared" si="146"/>
        <v>0</v>
      </c>
      <c r="AF324" s="937">
        <f t="shared" si="147"/>
        <v>0</v>
      </c>
      <c r="AG324" s="937">
        <f t="shared" si="148"/>
        <v>0</v>
      </c>
      <c r="AH324" s="1172">
        <f t="shared" si="144"/>
        <v>0</v>
      </c>
      <c r="AI324" s="937">
        <f t="shared" si="14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36"/>
        <v>0</v>
      </c>
      <c r="N325" s="284">
        <f t="shared" si="137"/>
        <v>0</v>
      </c>
      <c r="O325" s="342">
        <v>0</v>
      </c>
      <c r="P325" s="343">
        <v>0</v>
      </c>
      <c r="Q325" s="343">
        <v>0</v>
      </c>
      <c r="R325" s="343">
        <v>0</v>
      </c>
      <c r="S325" s="343">
        <v>0</v>
      </c>
      <c r="T325" s="343">
        <v>0</v>
      </c>
      <c r="U325" s="343">
        <v>0</v>
      </c>
      <c r="V325" s="343">
        <v>0</v>
      </c>
      <c r="W325" s="343">
        <v>0</v>
      </c>
      <c r="X325" s="343">
        <v>0</v>
      </c>
      <c r="Y325" s="379">
        <v>0</v>
      </c>
      <c r="Z325" s="282">
        <f t="shared" si="138"/>
        <v>0</v>
      </c>
      <c r="AA325" s="284">
        <f t="shared" si="139"/>
        <v>0</v>
      </c>
      <c r="AB325" s="948">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49">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6">
        <f t="shared" si="149"/>
        <v>0</v>
      </c>
      <c r="AE325" s="937">
        <f t="shared" si="146"/>
        <v>0</v>
      </c>
      <c r="AF325" s="937">
        <f t="shared" si="147"/>
        <v>0</v>
      </c>
      <c r="AG325" s="937">
        <f t="shared" si="148"/>
        <v>0</v>
      </c>
      <c r="AH325" s="1172">
        <f t="shared" si="144"/>
        <v>0</v>
      </c>
      <c r="AI325" s="937">
        <f t="shared" si="14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36"/>
        <v>0</v>
      </c>
      <c r="N326" s="298">
        <f t="shared" si="137"/>
        <v>0</v>
      </c>
      <c r="O326" s="344">
        <v>0</v>
      </c>
      <c r="P326" s="345">
        <v>0</v>
      </c>
      <c r="Q326" s="345">
        <v>0</v>
      </c>
      <c r="R326" s="345">
        <v>0</v>
      </c>
      <c r="S326" s="345">
        <v>0</v>
      </c>
      <c r="T326" s="345">
        <v>0</v>
      </c>
      <c r="U326" s="345">
        <v>0</v>
      </c>
      <c r="V326" s="345">
        <v>0</v>
      </c>
      <c r="W326" s="345">
        <v>0</v>
      </c>
      <c r="X326" s="345">
        <v>0</v>
      </c>
      <c r="Y326" s="380">
        <v>0</v>
      </c>
      <c r="Z326" s="296">
        <f t="shared" si="138"/>
        <v>0</v>
      </c>
      <c r="AA326" s="298">
        <f t="shared" si="139"/>
        <v>0</v>
      </c>
      <c r="AB326" s="948">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49">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6">
        <f t="shared" si="149"/>
        <v>0</v>
      </c>
      <c r="AE326" s="937">
        <f t="shared" si="146"/>
        <v>0</v>
      </c>
      <c r="AF326" s="937">
        <f t="shared" si="147"/>
        <v>0</v>
      </c>
      <c r="AG326" s="937">
        <f t="shared" si="148"/>
        <v>0</v>
      </c>
      <c r="AH326" s="1172">
        <f t="shared" si="144"/>
        <v>0</v>
      </c>
      <c r="AI326" s="937">
        <f t="shared" si="14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36"/>
        <v>0</v>
      </c>
      <c r="N327" s="298">
        <f t="shared" si="137"/>
        <v>0</v>
      </c>
      <c r="O327" s="344">
        <v>0</v>
      </c>
      <c r="P327" s="345">
        <v>0</v>
      </c>
      <c r="Q327" s="345">
        <v>0</v>
      </c>
      <c r="R327" s="345">
        <v>0</v>
      </c>
      <c r="S327" s="345">
        <v>0</v>
      </c>
      <c r="T327" s="345">
        <v>0</v>
      </c>
      <c r="U327" s="345">
        <v>0</v>
      </c>
      <c r="V327" s="345">
        <v>0</v>
      </c>
      <c r="W327" s="345">
        <v>0</v>
      </c>
      <c r="X327" s="345">
        <v>0</v>
      </c>
      <c r="Y327" s="380">
        <v>0</v>
      </c>
      <c r="Z327" s="296">
        <f t="shared" si="138"/>
        <v>0</v>
      </c>
      <c r="AA327" s="298">
        <f t="shared" si="139"/>
        <v>0</v>
      </c>
      <c r="AB327" s="948">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49">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6">
        <f t="shared" si="149"/>
        <v>0</v>
      </c>
      <c r="AE327" s="937">
        <f t="shared" si="146"/>
        <v>0</v>
      </c>
      <c r="AF327" s="937">
        <f t="shared" si="147"/>
        <v>0</v>
      </c>
      <c r="AG327" s="937">
        <f t="shared" si="148"/>
        <v>0</v>
      </c>
      <c r="AH327" s="1172">
        <f t="shared" si="144"/>
        <v>0</v>
      </c>
      <c r="AI327" s="937">
        <f t="shared" si="14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36"/>
        <v>0</v>
      </c>
      <c r="N328" s="298">
        <f t="shared" si="137"/>
        <v>0</v>
      </c>
      <c r="O328" s="344">
        <v>0</v>
      </c>
      <c r="P328" s="345">
        <v>0</v>
      </c>
      <c r="Q328" s="345">
        <v>0</v>
      </c>
      <c r="R328" s="345">
        <v>0</v>
      </c>
      <c r="S328" s="345">
        <v>0</v>
      </c>
      <c r="T328" s="345">
        <v>0</v>
      </c>
      <c r="U328" s="345">
        <v>0</v>
      </c>
      <c r="V328" s="345">
        <v>0</v>
      </c>
      <c r="W328" s="345">
        <v>0</v>
      </c>
      <c r="X328" s="345">
        <v>0</v>
      </c>
      <c r="Y328" s="380">
        <v>0</v>
      </c>
      <c r="Z328" s="296">
        <f t="shared" si="138"/>
        <v>0</v>
      </c>
      <c r="AA328" s="298">
        <f t="shared" si="139"/>
        <v>0</v>
      </c>
      <c r="AB328" s="948">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49">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6">
        <f t="shared" si="149"/>
        <v>0</v>
      </c>
      <c r="AE328" s="937">
        <f t="shared" si="146"/>
        <v>0</v>
      </c>
      <c r="AF328" s="937">
        <f t="shared" si="147"/>
        <v>0</v>
      </c>
      <c r="AG328" s="937">
        <f t="shared" si="148"/>
        <v>0</v>
      </c>
      <c r="AH328" s="1172">
        <f t="shared" si="144"/>
        <v>0</v>
      </c>
      <c r="AI328" s="937">
        <f t="shared" si="145"/>
        <v>0</v>
      </c>
    </row>
    <row r="329" spans="1:35" ht="13.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36"/>
        <v>0</v>
      </c>
      <c r="N329" s="312">
        <f t="shared" si="137"/>
        <v>0</v>
      </c>
      <c r="O329" s="346">
        <v>0</v>
      </c>
      <c r="P329" s="347">
        <v>0</v>
      </c>
      <c r="Q329" s="347">
        <v>0</v>
      </c>
      <c r="R329" s="347">
        <v>0</v>
      </c>
      <c r="S329" s="347">
        <v>0</v>
      </c>
      <c r="T329" s="347">
        <v>0</v>
      </c>
      <c r="U329" s="347">
        <v>0</v>
      </c>
      <c r="V329" s="347">
        <v>0</v>
      </c>
      <c r="W329" s="347">
        <v>0</v>
      </c>
      <c r="X329" s="347">
        <v>0</v>
      </c>
      <c r="Y329" s="381">
        <v>0</v>
      </c>
      <c r="Z329" s="310">
        <f t="shared" si="138"/>
        <v>0</v>
      </c>
      <c r="AA329" s="312">
        <f t="shared" si="139"/>
        <v>0</v>
      </c>
      <c r="AB329" s="950">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1">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7">
        <f t="shared" si="149"/>
        <v>0</v>
      </c>
      <c r="AE329" s="937">
        <f t="shared" si="146"/>
        <v>0</v>
      </c>
      <c r="AF329" s="937">
        <f t="shared" si="147"/>
        <v>0</v>
      </c>
      <c r="AG329" s="937">
        <f t="shared" si="148"/>
        <v>0</v>
      </c>
      <c r="AH329" s="1172">
        <f t="shared" si="144"/>
        <v>0</v>
      </c>
      <c r="AI329" s="937">
        <f t="shared" si="145"/>
        <v>0</v>
      </c>
    </row>
    <row r="330" spans="1:35" x14ac:dyDescent="0.2">
      <c r="B330" s="227" t="str">
        <f>B$120</f>
        <v>Output generated: 8/27/2020 18:37</v>
      </c>
      <c r="U330" s="227" t="str">
        <f>U$120</f>
        <v>Output generated: 8/27/2020 18:37</v>
      </c>
    </row>
  </sheetData>
  <dataConsolidate/>
  <mergeCells count="39">
    <mergeCell ref="AB231:AD231"/>
    <mergeCell ref="AB284:AD284"/>
    <mergeCell ref="O174:AA174"/>
    <mergeCell ref="O175:Y175"/>
    <mergeCell ref="B175:L175"/>
    <mergeCell ref="B174:N174"/>
    <mergeCell ref="AB178:AD178"/>
    <mergeCell ref="BC19:BH19"/>
    <mergeCell ref="AX19:BB19"/>
    <mergeCell ref="AN19:AR19"/>
    <mergeCell ref="AD19:AH19"/>
    <mergeCell ref="Y19:AC19"/>
    <mergeCell ref="B4:C4"/>
    <mergeCell ref="J9:K9"/>
    <mergeCell ref="AS19:AW19"/>
    <mergeCell ref="AI19:AM19"/>
    <mergeCell ref="AB126:AD126"/>
    <mergeCell ref="AB74:AD74"/>
    <mergeCell ref="T21:X21"/>
    <mergeCell ref="N19:S19"/>
    <mergeCell ref="T19:X19"/>
    <mergeCell ref="O70:AA70"/>
    <mergeCell ref="B70:N70"/>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s>
  <phoneticPr fontId="27" type="noConversion"/>
  <conditionalFormatting sqref="AQ20 BA20 BG20 AV20:AV67 BF39 W20 AB20:AB67 AG20:AG67 AQ22:AQ67 BA22:BA67 BG22:BG67 R20:R67 S24 W22:W67 AL20:AL23 L20:L67">
    <cfRule type="expression" dxfId="62" priority="32">
      <formula>$C$15="not used"</formula>
    </cfRule>
  </conditionalFormatting>
  <conditionalFormatting sqref="BH20:BH67 BB20:BB67 AW20:AW67 AR20:AR67 AH20:AH67 AC20:AC67 X20 S20:S23 S25:S67 X22:X67 AM20:AM23 M20:M67">
    <cfRule type="expression" dxfId="61" priority="31">
      <formula>$C$16="not used"</formula>
    </cfRule>
  </conditionalFormatting>
  <conditionalFormatting sqref="V20 AA20:AA67 AF20:AF67 AP20:AP67 AU20:AU67 AZ20:AZ67 BF20:BF67 Q20:Q67 V22:V67 AK20:AK23 K20:K67">
    <cfRule type="expression" dxfId="60" priority="30">
      <formula>$C$14="not used"</formula>
    </cfRule>
  </conditionalFormatting>
  <conditionalFormatting sqref="AQ21">
    <cfRule type="expression" dxfId="59" priority="27">
      <formula>$C$15="not used"</formula>
    </cfRule>
  </conditionalFormatting>
  <conditionalFormatting sqref="AR21">
    <cfRule type="expression" dxfId="58" priority="26">
      <formula>$C$16="not used"</formula>
    </cfRule>
  </conditionalFormatting>
  <conditionalFormatting sqref="AP21">
    <cfRule type="expression" dxfId="57" priority="25">
      <formula>$C$14="not used"</formula>
    </cfRule>
  </conditionalFormatting>
  <conditionalFormatting sqref="AW21">
    <cfRule type="expression" dxfId="56" priority="23">
      <formula>$C$16="not used"</formula>
    </cfRule>
  </conditionalFormatting>
  <conditionalFormatting sqref="AU21">
    <cfRule type="expression" dxfId="55" priority="22">
      <formula>$C$14="not used"</formula>
    </cfRule>
  </conditionalFormatting>
  <conditionalFormatting sqref="BA21">
    <cfRule type="expression" dxfId="54" priority="21">
      <formula>$C$15="not used"</formula>
    </cfRule>
  </conditionalFormatting>
  <conditionalFormatting sqref="BB21">
    <cfRule type="expression" dxfId="53" priority="20">
      <formula>$C$16="not used"</formula>
    </cfRule>
  </conditionalFormatting>
  <conditionalFormatting sqref="AZ21">
    <cfRule type="expression" dxfId="52" priority="19">
      <formula>$C$14="not used"</formula>
    </cfRule>
  </conditionalFormatting>
  <conditionalFormatting sqref="BF21">
    <cfRule type="expression" dxfId="51" priority="16">
      <formula>$C$14="not used"</formula>
    </cfRule>
  </conditionalFormatting>
  <conditionalFormatting sqref="BG21">
    <cfRule type="expression" dxfId="50" priority="18">
      <formula>$C$15="not used"</formula>
    </cfRule>
  </conditionalFormatting>
  <conditionalFormatting sqref="BH21">
    <cfRule type="expression" dxfId="49" priority="17">
      <formula>$C$16="not used"</formula>
    </cfRule>
  </conditionalFormatting>
  <conditionalFormatting sqref="L20">
    <cfRule type="expression" dxfId="48" priority="12">
      <formula>$C$15="not used"</formula>
    </cfRule>
  </conditionalFormatting>
  <conditionalFormatting sqref="M20">
    <cfRule type="expression" dxfId="47" priority="11">
      <formula>$C$16="not used"</formula>
    </cfRule>
  </conditionalFormatting>
  <conditionalFormatting sqref="E20:E67">
    <cfRule type="expression" dxfId="46" priority="10">
      <formula>$C$14="not used"</formula>
    </cfRule>
  </conditionalFormatting>
  <conditionalFormatting sqref="F20">
    <cfRule type="expression" dxfId="45" priority="9">
      <formula>$C$15="not used"</formula>
    </cfRule>
  </conditionalFormatting>
  <conditionalFormatting sqref="G20">
    <cfRule type="expression" dxfId="44" priority="8">
      <formula>$C$16="not used"</formula>
    </cfRule>
  </conditionalFormatting>
  <conditionalFormatting sqref="F20">
    <cfRule type="expression" dxfId="43" priority="7">
      <formula>$C$15="not used"</formula>
    </cfRule>
  </conditionalFormatting>
  <conditionalFormatting sqref="G20">
    <cfRule type="expression" dxfId="42" priority="6">
      <formula>$C$16="not used"</formula>
    </cfRule>
  </conditionalFormatting>
  <conditionalFormatting sqref="E20">
    <cfRule type="expression" dxfId="41" priority="5">
      <formula>$C$14="not used"</formula>
    </cfRule>
  </conditionalFormatting>
  <conditionalFormatting sqref="N24">
    <cfRule type="expression" dxfId="40" priority="4">
      <formula>$C$15="not used"</formula>
    </cfRule>
  </conditionalFormatting>
  <conditionalFormatting sqref="AK24:AK67">
    <cfRule type="expression" dxfId="39" priority="1">
      <formula>$C$14="not used"</formula>
    </cfRule>
  </conditionalFormatting>
  <conditionalFormatting sqref="AL24:AL67">
    <cfRule type="expression" dxfId="38" priority="3">
      <formula>$C$15="not used"</formula>
    </cfRule>
  </conditionalFormatting>
  <conditionalFormatting sqref="AM24:AM67">
    <cfRule type="expression" dxfId="37"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N1" activePane="topRight" state="frozen"/>
      <selection pane="topRight" activeCell="AD24" sqref="AD24"/>
    </sheetView>
  </sheetViews>
  <sheetFormatPr defaultColWidth="8.42578125" defaultRowHeight="12.75" x14ac:dyDescent="0.2"/>
  <cols>
    <col min="1" max="1" width="6" style="227" customWidth="1"/>
    <col min="2" max="2" width="10.28515625" style="227" customWidth="1"/>
    <col min="3" max="3" width="11.85546875" style="227" customWidth="1"/>
    <col min="4" max="4" width="12.5703125" style="227" customWidth="1"/>
    <col min="5" max="5" width="12.7109375" style="227" customWidth="1"/>
    <col min="6" max="6" width="12" style="227" customWidth="1"/>
    <col min="7" max="7" width="11.85546875" style="227" customWidth="1"/>
    <col min="8" max="8" width="10.85546875" style="227" bestFit="1" customWidth="1"/>
    <col min="9" max="9" width="8.42578125" style="227" customWidth="1"/>
    <col min="10" max="10" width="12.140625" style="227" customWidth="1"/>
    <col min="11" max="11" width="9.5703125" style="227" customWidth="1"/>
    <col min="12" max="12" width="10.85546875" style="227" bestFit="1" customWidth="1"/>
    <col min="13" max="13" width="9.85546875" style="227" customWidth="1"/>
    <col min="14" max="14" width="13" style="227" bestFit="1" customWidth="1"/>
    <col min="15" max="15" width="13.7109375" style="227" customWidth="1"/>
    <col min="16" max="16" width="12.5703125" style="227" customWidth="1"/>
    <col min="17" max="17" width="13.42578125" style="227" customWidth="1"/>
    <col min="18" max="18" width="11.5703125" style="227" customWidth="1"/>
    <col min="19" max="19" width="12.42578125" style="227" customWidth="1"/>
    <col min="20" max="22" width="8.42578125" style="227" customWidth="1"/>
    <col min="23" max="25" width="8.42578125" style="323" customWidth="1"/>
    <col min="26" max="28" width="8.42578125" style="227"/>
    <col min="29" max="29" width="10" style="227" customWidth="1"/>
    <col min="30" max="34" width="8.42578125" style="227"/>
    <col min="35" max="35" width="9.42578125" style="227" customWidth="1"/>
    <col min="36" max="42" width="8.42578125" style="227"/>
    <col min="43" max="43" width="9.5703125" style="227" bestFit="1" customWidth="1"/>
    <col min="44" max="44" width="7.42578125" style="227" bestFit="1" customWidth="1"/>
    <col min="45" max="47" width="8.42578125" style="227"/>
    <col min="48" max="48" width="9.5703125" style="227" bestFit="1" customWidth="1"/>
    <col min="49" max="52" width="8.42578125" style="227"/>
    <col min="53" max="53" width="9.5703125" style="227" bestFit="1" customWidth="1"/>
    <col min="54" max="58" width="8.42578125" style="227"/>
    <col min="59" max="59" width="9.5703125" style="227" bestFit="1" customWidth="1"/>
    <col min="60" max="16384" width="8.42578125" style="227"/>
  </cols>
  <sheetData>
    <row r="1" spans="2:60" ht="15.75" x14ac:dyDescent="0.25">
      <c r="B1" s="52" t="s">
        <v>243</v>
      </c>
      <c r="C1" s="232"/>
      <c r="D1" s="232"/>
      <c r="E1" s="232"/>
      <c r="F1" s="232"/>
      <c r="W1" s="227"/>
      <c r="X1" s="227"/>
      <c r="Y1" s="227"/>
    </row>
    <row r="2" spans="2:60" x14ac:dyDescent="0.2">
      <c r="Q2" s="235"/>
      <c r="W2" s="227"/>
      <c r="X2" s="227"/>
      <c r="Y2" s="227"/>
    </row>
    <row r="3" spans="2:60" x14ac:dyDescent="0.2">
      <c r="B3" s="1549" t="s">
        <v>53</v>
      </c>
      <c r="C3" s="1550"/>
      <c r="D3" s="236">
        <f>'Run Model'!C6</f>
        <v>7.4999999999999997E-2</v>
      </c>
      <c r="F3"/>
      <c r="G3"/>
      <c r="H3"/>
      <c r="J3" s="227" t="s">
        <v>127</v>
      </c>
      <c r="L3" s="1532" t="s">
        <v>452</v>
      </c>
      <c r="M3" s="1533"/>
      <c r="N3" s="1533"/>
      <c r="O3" s="1534"/>
      <c r="Q3" s="216"/>
      <c r="W3" s="227"/>
      <c r="X3" s="227"/>
      <c r="Y3" s="227"/>
    </row>
    <row r="4" spans="2:60" x14ac:dyDescent="0.2">
      <c r="B4" s="1549" t="s">
        <v>104</v>
      </c>
      <c r="C4" s="1550"/>
      <c r="D4" s="225" t="str">
        <f>'Run Model'!C7</f>
        <v>Moderate</v>
      </c>
      <c r="F4"/>
      <c r="G4"/>
      <c r="H4"/>
      <c r="J4" s="227" t="s">
        <v>126</v>
      </c>
      <c r="L4" s="1546">
        <v>44070.776076388887</v>
      </c>
      <c r="M4" s="1533"/>
      <c r="N4" s="1533"/>
      <c r="O4" s="1534"/>
      <c r="P4" s="227" t="s">
        <v>186</v>
      </c>
      <c r="W4" s="227"/>
      <c r="X4" s="227"/>
      <c r="Y4" s="227"/>
    </row>
    <row r="5" spans="2:60" x14ac:dyDescent="0.2">
      <c r="B5" s="1549" t="s">
        <v>118</v>
      </c>
      <c r="C5" s="1550"/>
      <c r="D5" s="225" t="s">
        <v>15</v>
      </c>
      <c r="F5"/>
      <c r="G5"/>
      <c r="H5"/>
      <c r="L5" s="1546">
        <v>44070.776076388887</v>
      </c>
      <c r="M5" s="1533"/>
      <c r="N5" s="1533"/>
      <c r="O5" s="1534"/>
      <c r="P5" s="227" t="s">
        <v>15</v>
      </c>
      <c r="W5" s="227"/>
      <c r="X5" s="227"/>
      <c r="Y5" s="227"/>
    </row>
    <row r="6" spans="2:60" x14ac:dyDescent="0.2">
      <c r="B6" s="1549" t="s">
        <v>68</v>
      </c>
      <c r="C6" s="1550"/>
      <c r="D6" s="238">
        <v>220702.9179341534</v>
      </c>
      <c r="F6"/>
      <c r="G6"/>
      <c r="H6"/>
      <c r="W6" s="227"/>
      <c r="X6" s="227"/>
      <c r="Y6" s="227"/>
    </row>
    <row r="7" spans="2:60" ht="6.75" customHeight="1" x14ac:dyDescent="0.2">
      <c r="Q7" s="239"/>
      <c r="W7" s="227"/>
      <c r="X7" s="227"/>
      <c r="Y7" s="227"/>
    </row>
    <row r="8" spans="2:60" s="240" customFormat="1" ht="15.75" thickBot="1" x14ac:dyDescent="0.3">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2" customFormat="1" ht="28.5" customHeight="1" x14ac:dyDescent="0.2">
      <c r="B9" s="1027"/>
      <c r="C9" s="1028"/>
      <c r="D9" s="1029"/>
      <c r="E9" s="1029"/>
      <c r="F9" s="1028"/>
      <c r="G9" s="1029"/>
      <c r="H9" s="1028"/>
      <c r="I9" s="1029"/>
      <c r="J9" s="1520" t="s">
        <v>76</v>
      </c>
      <c r="K9" s="1521"/>
      <c r="L9" s="1560" t="s">
        <v>83</v>
      </c>
      <c r="M9" s="1560"/>
      <c r="N9" s="1561" t="s">
        <v>109</v>
      </c>
      <c r="O9" s="1560"/>
      <c r="P9" s="1560"/>
      <c r="Q9" s="1562"/>
      <c r="R9" s="1030"/>
      <c r="S9" s="1031"/>
      <c r="AB9" s="1033"/>
      <c r="AC9" s="1034"/>
      <c r="AQ9" s="245"/>
      <c r="AR9" s="245"/>
      <c r="AS9" s="245"/>
      <c r="AT9" s="245"/>
    </row>
    <row r="10" spans="2:60" s="240" customFormat="1" ht="26.25" thickBot="1" x14ac:dyDescent="0.25">
      <c r="B10" s="249"/>
      <c r="C10" s="722" t="s">
        <v>75</v>
      </c>
      <c r="D10" s="713"/>
      <c r="E10" s="714"/>
      <c r="F10" s="646" t="s">
        <v>211</v>
      </c>
      <c r="G10" s="647" t="s">
        <v>210</v>
      </c>
      <c r="H10" s="646" t="s">
        <v>264</v>
      </c>
      <c r="I10" s="647" t="s">
        <v>81</v>
      </c>
      <c r="J10" s="1113" t="s">
        <v>283</v>
      </c>
      <c r="K10" s="1114" t="s">
        <v>284</v>
      </c>
      <c r="L10" s="572" t="s">
        <v>113</v>
      </c>
      <c r="M10" s="250" t="s">
        <v>84</v>
      </c>
      <c r="N10" s="251" t="s">
        <v>95</v>
      </c>
      <c r="O10" s="250" t="s">
        <v>112</v>
      </c>
      <c r="P10" s="250" t="s">
        <v>120</v>
      </c>
      <c r="Q10" s="252" t="s">
        <v>108</v>
      </c>
      <c r="R10" s="241"/>
      <c r="S10" s="242"/>
      <c r="AB10" s="243"/>
      <c r="AC10" s="244"/>
      <c r="AI10" s="784"/>
      <c r="AJ10" s="786"/>
      <c r="AO10" s="786"/>
      <c r="AQ10" s="245"/>
      <c r="AR10" s="245"/>
      <c r="AS10" s="245"/>
      <c r="AT10" s="245"/>
    </row>
    <row r="11" spans="2:60" s="240" customFormat="1" ht="13.5" thickTop="1" x14ac:dyDescent="0.2">
      <c r="B11" s="253" t="s">
        <v>69</v>
      </c>
      <c r="C11" s="862" t="str">
        <f t="shared" ref="C11:C16" si="0">INDEX(TECH_OPT_PARAMS_Cls2,MATCH($B11,TECH_OPT_ROWS_Cls2,0),MATCH(C$10,TECH_OPT_COLS_Cls2,0))</f>
        <v>Conventional Diesel ICE</v>
      </c>
      <c r="D11" s="863"/>
      <c r="E11" s="864"/>
      <c r="F11" s="874" t="str">
        <f t="shared" ref="F11:O16" si="1">INDEX(TECH_OPT_PARAMS_Cls2,MATCH($B11,TECH_OPT_ROWS_Cls2,0),MATCH(F$10,TECH_OPT_COLS_Cls2,0))</f>
        <v>Diesel</v>
      </c>
      <c r="G11" s="874" t="str">
        <f t="shared" si="1"/>
        <v>N/A</v>
      </c>
      <c r="H11" s="897" t="b">
        <f t="shared" si="1"/>
        <v>0</v>
      </c>
      <c r="I11" s="721">
        <f t="shared" si="1"/>
        <v>0</v>
      </c>
      <c r="J11" s="721">
        <f t="shared" si="1"/>
        <v>0</v>
      </c>
      <c r="K11" s="1035">
        <f t="shared" si="1"/>
        <v>0</v>
      </c>
      <c r="L11" s="1036">
        <f t="shared" si="1"/>
        <v>0</v>
      </c>
      <c r="M11" s="721">
        <f t="shared" si="1"/>
        <v>0</v>
      </c>
      <c r="N11" s="720">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5" t="str">
        <f t="shared" si="0"/>
        <v>Adv Conv</v>
      </c>
      <c r="D12" s="866"/>
      <c r="E12" s="867"/>
      <c r="F12" s="875" t="str">
        <f t="shared" si="1"/>
        <v>Diesel</v>
      </c>
      <c r="G12" s="876" t="str">
        <f t="shared" si="1"/>
        <v>N/A</v>
      </c>
      <c r="H12" s="898" t="b">
        <f t="shared" si="1"/>
        <v>0</v>
      </c>
      <c r="I12" s="237">
        <f t="shared" si="1"/>
        <v>2025</v>
      </c>
      <c r="J12" s="237">
        <f t="shared" si="1"/>
        <v>0</v>
      </c>
      <c r="K12" s="986">
        <f t="shared" si="1"/>
        <v>0.5</v>
      </c>
      <c r="L12" s="739">
        <f t="shared" si="1"/>
        <v>5</v>
      </c>
      <c r="M12" s="237">
        <f t="shared" si="1"/>
        <v>5</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5" t="str">
        <f t="shared" si="0"/>
        <v>HEV</v>
      </c>
      <c r="D13" s="866"/>
      <c r="E13" s="867"/>
      <c r="F13" s="875" t="str">
        <f t="shared" si="1"/>
        <v>Diesel</v>
      </c>
      <c r="G13" s="876" t="str">
        <f t="shared" si="1"/>
        <v>N/A</v>
      </c>
      <c r="H13" s="898" t="b">
        <f t="shared" si="1"/>
        <v>0</v>
      </c>
      <c r="I13" s="237">
        <f t="shared" si="1"/>
        <v>2025</v>
      </c>
      <c r="J13" s="237">
        <f t="shared" si="1"/>
        <v>0</v>
      </c>
      <c r="K13" s="986">
        <f t="shared" si="1"/>
        <v>0.5</v>
      </c>
      <c r="L13" s="739">
        <f t="shared" si="1"/>
        <v>5</v>
      </c>
      <c r="M13" s="237">
        <f t="shared" si="1"/>
        <v>5</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5" t="str">
        <f t="shared" si="0"/>
        <v>BEV</v>
      </c>
      <c r="D14" s="866"/>
      <c r="E14" s="867"/>
      <c r="F14" s="875" t="str">
        <f t="shared" si="1"/>
        <v>Electricity</v>
      </c>
      <c r="G14" s="876" t="str">
        <f t="shared" si="1"/>
        <v>N/A</v>
      </c>
      <c r="H14" s="898" t="b">
        <f t="shared" si="1"/>
        <v>1</v>
      </c>
      <c r="I14" s="237">
        <f t="shared" si="1"/>
        <v>2025</v>
      </c>
      <c r="J14" s="237">
        <f t="shared" si="1"/>
        <v>0</v>
      </c>
      <c r="K14" s="986">
        <f t="shared" si="1"/>
        <v>0.5</v>
      </c>
      <c r="L14" s="739">
        <f t="shared" si="1"/>
        <v>5</v>
      </c>
      <c r="M14" s="237">
        <f t="shared" si="1"/>
        <v>5</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205</v>
      </c>
      <c r="C15" s="868" t="str">
        <f t="shared" si="0"/>
        <v>FCEV</v>
      </c>
      <c r="D15" s="869"/>
      <c r="E15" s="870"/>
      <c r="F15" s="877" t="str">
        <f t="shared" si="1"/>
        <v>Hydrogen</v>
      </c>
      <c r="G15" s="878" t="str">
        <f t="shared" si="1"/>
        <v>N/A</v>
      </c>
      <c r="H15" s="898" t="b">
        <f t="shared" si="1"/>
        <v>0</v>
      </c>
      <c r="I15" s="237">
        <f t="shared" si="1"/>
        <v>2025</v>
      </c>
      <c r="J15" s="237">
        <f t="shared" si="1"/>
        <v>0</v>
      </c>
      <c r="K15" s="986">
        <f t="shared" si="1"/>
        <v>0.5</v>
      </c>
      <c r="L15" s="739">
        <f t="shared" si="1"/>
        <v>5</v>
      </c>
      <c r="M15" s="237">
        <f t="shared" si="1"/>
        <v>5</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3.5" thickBot="1" x14ac:dyDescent="0.25">
      <c r="B16" s="261" t="s">
        <v>206</v>
      </c>
      <c r="C16" s="871">
        <f t="shared" si="0"/>
        <v>0</v>
      </c>
      <c r="D16" s="872"/>
      <c r="E16" s="873"/>
      <c r="F16" s="879" t="str">
        <f t="shared" si="1"/>
        <v>Diesel</v>
      </c>
      <c r="G16" s="880" t="str">
        <f t="shared" si="1"/>
        <v>N/A</v>
      </c>
      <c r="H16" s="899" t="b">
        <f t="shared" si="1"/>
        <v>0</v>
      </c>
      <c r="I16" s="264">
        <f t="shared" si="1"/>
        <v>2025</v>
      </c>
      <c r="J16" s="264">
        <f t="shared" si="1"/>
        <v>0</v>
      </c>
      <c r="K16" s="987">
        <f t="shared" si="1"/>
        <v>0</v>
      </c>
      <c r="L16" s="740">
        <f t="shared" si="1"/>
        <v>5</v>
      </c>
      <c r="M16" s="264">
        <f t="shared" si="1"/>
        <v>5</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11468.360940824925</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s="787"/>
      <c r="AY17" s="788"/>
      <c r="AZ17" s="788"/>
      <c r="BA17" s="788"/>
      <c r="BB17"/>
      <c r="BC17"/>
      <c r="BD17"/>
      <c r="BE17"/>
      <c r="BF17"/>
      <c r="BG17"/>
      <c r="BH17"/>
    </row>
    <row r="18" spans="1:60" ht="13.5" thickBot="1" x14ac:dyDescent="0.25">
      <c r="B18" s="229"/>
      <c r="D18" s="269"/>
      <c r="N18" s="270"/>
      <c r="Q18" s="270"/>
      <c r="W18" s="227"/>
      <c r="X18" s="227"/>
      <c r="Y18" s="227"/>
      <c r="AC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INDEX(AdoptCols,AU18)</f>
        <v>Moderate</v>
      </c>
      <c r="AW18" s="792"/>
      <c r="AX18" s="790"/>
      <c r="AY18" s="801"/>
      <c r="AZ18" s="791"/>
      <c r="BA18" s="791"/>
      <c r="BB18"/>
      <c r="BC18"/>
      <c r="BD18"/>
      <c r="BE18"/>
      <c r="BF18"/>
      <c r="BG18"/>
      <c r="BH18"/>
    </row>
    <row r="19" spans="1:60" s="29" customFormat="1" ht="15.75" thickBot="1" x14ac:dyDescent="0.3">
      <c r="A19" s="805"/>
      <c r="B19" s="1543" t="s">
        <v>234</v>
      </c>
      <c r="C19" s="1544"/>
      <c r="D19" s="1544"/>
      <c r="E19" s="1544"/>
      <c r="F19" s="1544"/>
      <c r="G19" s="1545"/>
      <c r="H19" s="1563" t="s">
        <v>220</v>
      </c>
      <c r="I19" s="1564"/>
      <c r="J19" s="1564"/>
      <c r="K19" s="1564"/>
      <c r="L19" s="1564"/>
      <c r="M19" s="1565"/>
      <c r="N19" s="1544" t="s">
        <v>71</v>
      </c>
      <c r="O19" s="1544"/>
      <c r="P19" s="1544"/>
      <c r="Q19" s="1544"/>
      <c r="R19" s="1544"/>
      <c r="S19" s="1545"/>
      <c r="T19" s="1543" t="s">
        <v>107</v>
      </c>
      <c r="U19" s="1544"/>
      <c r="V19" s="1544"/>
      <c r="W19" s="1544"/>
      <c r="X19" s="1545"/>
      <c r="Y19" s="1543" t="s">
        <v>72</v>
      </c>
      <c r="Z19" s="1544"/>
      <c r="AA19" s="1544"/>
      <c r="AB19" s="1544"/>
      <c r="AC19" s="1545"/>
      <c r="AD19" s="1543" t="s">
        <v>92</v>
      </c>
      <c r="AE19" s="1544"/>
      <c r="AF19" s="1544"/>
      <c r="AG19" s="1544"/>
      <c r="AH19" s="1545"/>
      <c r="AI19" s="1543" t="s">
        <v>76</v>
      </c>
      <c r="AJ19" s="1544"/>
      <c r="AK19" s="1544"/>
      <c r="AL19" s="1544"/>
      <c r="AM19" s="1544"/>
      <c r="AN19" s="1543" t="s">
        <v>100</v>
      </c>
      <c r="AO19" s="1544"/>
      <c r="AP19" s="1544"/>
      <c r="AQ19" s="1544"/>
      <c r="AR19" s="1545"/>
      <c r="AS19" s="1543" t="s">
        <v>73</v>
      </c>
      <c r="AT19" s="1544"/>
      <c r="AU19" s="1544"/>
      <c r="AV19" s="1544"/>
      <c r="AW19" s="1545"/>
      <c r="AX19" s="1544" t="s">
        <v>102</v>
      </c>
      <c r="AY19" s="1544"/>
      <c r="AZ19" s="1544"/>
      <c r="BA19" s="1544"/>
      <c r="BB19" s="1545"/>
      <c r="BC19" s="1543" t="s">
        <v>82</v>
      </c>
      <c r="BD19" s="1544"/>
      <c r="BE19" s="1544"/>
      <c r="BF19" s="1544"/>
      <c r="BG19" s="1544"/>
      <c r="BH19" s="1545"/>
    </row>
    <row r="20" spans="1:60" ht="15" customHeight="1" x14ac:dyDescent="0.2">
      <c r="A20" s="272"/>
      <c r="B20" s="1037" t="s">
        <v>69</v>
      </c>
      <c r="C20" s="1038" t="s">
        <v>65</v>
      </c>
      <c r="D20" s="1038" t="s">
        <v>66</v>
      </c>
      <c r="E20" s="1038" t="s">
        <v>67</v>
      </c>
      <c r="F20" s="1038" t="s">
        <v>205</v>
      </c>
      <c r="G20" s="1084" t="s">
        <v>206</v>
      </c>
      <c r="H20" s="1097" t="s">
        <v>69</v>
      </c>
      <c r="I20" s="1098" t="s">
        <v>65</v>
      </c>
      <c r="J20" s="1098" t="s">
        <v>66</v>
      </c>
      <c r="K20" s="1098" t="s">
        <v>67</v>
      </c>
      <c r="L20" s="1098" t="s">
        <v>205</v>
      </c>
      <c r="M20" s="1099"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74" customFormat="1" x14ac:dyDescent="0.2">
      <c r="A21" s="272"/>
      <c r="B21" s="1091"/>
      <c r="C21" s="1092"/>
      <c r="D21" s="1092"/>
      <c r="E21" s="1092"/>
      <c r="F21" s="1092"/>
      <c r="G21" s="1093"/>
      <c r="H21" s="1085" t="str">
        <f>IF(INDEX($G$11:$G$16,MATCH(H20,$B$11:$B$16,0))="N/A","Single-fuel","Dual-Fuel")</f>
        <v>Single-fuel</v>
      </c>
      <c r="I21" s="1086" t="str">
        <f t="shared" ref="I21:M21" si="3">IF(INDEX($G$11:$G$16,MATCH(I20,$B$11:$B$16,0))="N/A","Single-fuel","Dual-Fuel")</f>
        <v>Single-fuel</v>
      </c>
      <c r="J21" s="1086" t="str">
        <f t="shared" si="3"/>
        <v>Single-fuel</v>
      </c>
      <c r="K21" s="1086" t="str">
        <f t="shared" si="3"/>
        <v>Single-fuel</v>
      </c>
      <c r="L21" s="1086" t="str">
        <f t="shared" si="3"/>
        <v>Single-fuel</v>
      </c>
      <c r="M21" s="1087" t="str">
        <f t="shared" si="3"/>
        <v>Single-fuel</v>
      </c>
      <c r="N21" s="993" t="str">
        <f>INDEX($F$11:$F$16,MATCH(N20,$B$11:$B$16,0))</f>
        <v>Diesel</v>
      </c>
      <c r="O21" s="994" t="str">
        <f t="shared" ref="O21:S21" si="4">INDEX($F$11:$F$16,MATCH(RIGHT(O20),$B$11:$B$16,0))</f>
        <v>Diesel</v>
      </c>
      <c r="P21" s="994" t="str">
        <f t="shared" si="4"/>
        <v>Diesel</v>
      </c>
      <c r="Q21" s="994" t="str">
        <f t="shared" si="4"/>
        <v>Electricity</v>
      </c>
      <c r="R21" s="994" t="str">
        <f t="shared" si="4"/>
        <v>Hydrogen</v>
      </c>
      <c r="S21" s="995" t="str">
        <f t="shared" si="4"/>
        <v>Diesel</v>
      </c>
      <c r="T21" s="1557" t="s">
        <v>117</v>
      </c>
      <c r="U21" s="1558"/>
      <c r="V21" s="1558"/>
      <c r="W21" s="1558"/>
      <c r="X21" s="1559"/>
      <c r="Y21" s="1047" t="str">
        <f>INDEX($F$11:$F$16,MATCH(Y20,$B$11:$B$16,0))</f>
        <v>Diesel</v>
      </c>
      <c r="Z21" s="1048" t="str">
        <f t="shared" ref="Z21:AC21" si="5">INDEX($F$11:$F$16,MATCH(Z20,$B$11:$B$16,0))</f>
        <v>Diesel</v>
      </c>
      <c r="AA21" s="1048" t="str">
        <f t="shared" si="5"/>
        <v>Electricity</v>
      </c>
      <c r="AB21" s="1048" t="str">
        <f t="shared" si="5"/>
        <v>Hydrogen</v>
      </c>
      <c r="AC21" s="1049" t="str">
        <f t="shared" si="5"/>
        <v>Diesel</v>
      </c>
      <c r="AD21" s="1050">
        <f>INDEX($L$11:$L$16,MATCH(AD20,$B$11:$B$16,0))</f>
        <v>5</v>
      </c>
      <c r="AE21" s="1019">
        <f>INDEX($L$11:$L$16,MATCH(AE20,$B$11:$B$16,0))</f>
        <v>5</v>
      </c>
      <c r="AF21" s="1019">
        <f>INDEX($L$11:$L$16,MATCH(AF20,$B$11:$B$16,0))</f>
        <v>5</v>
      </c>
      <c r="AG21" s="1019">
        <f>INDEX($L$11:$L$16,MATCH(AG20,$B$11:$B$16,0))</f>
        <v>5</v>
      </c>
      <c r="AH21" s="1020">
        <f>INDEX($L$11:$L$16,MATCH(AH20,$B$11:$B$16,0))</f>
        <v>5</v>
      </c>
      <c r="AI21" s="1052">
        <f>INDEX($J$11:$J$16,MATCH(AI20,$B$11:$B$16,0))</f>
        <v>0</v>
      </c>
      <c r="AJ21" s="1053">
        <f t="shared" ref="AJ21:AM21" si="6">INDEX($J$11:$J$16,MATCH(AJ20,$B$11:$B$16,0))</f>
        <v>0</v>
      </c>
      <c r="AK21" s="1053">
        <f t="shared" si="6"/>
        <v>0</v>
      </c>
      <c r="AL21" s="1053">
        <f t="shared" si="6"/>
        <v>0</v>
      </c>
      <c r="AM21" s="1054">
        <f t="shared" si="6"/>
        <v>0</v>
      </c>
      <c r="AN21" s="993" t="str">
        <f>INDEX($F$11:$F$16,MATCH(AN20,$B$11:$B$16,0))</f>
        <v>Diesel</v>
      </c>
      <c r="AO21" s="994" t="str">
        <f t="shared" ref="AO21" si="7">INDEX($F$11:$F$16,MATCH(AO20,$B$11:$B$16,0))</f>
        <v>Diesel</v>
      </c>
      <c r="AP21" s="994" t="str">
        <f t="shared" ref="AP21" si="8">INDEX($F$11:$F$16,MATCH(AP20,$B$11:$B$16,0))</f>
        <v>Electricity</v>
      </c>
      <c r="AQ21" s="994" t="str">
        <f t="shared" ref="AQ21" si="9">INDEX($F$11:$F$16,MATCH(AQ20,$B$11:$B$16,0))</f>
        <v>Hydrogen</v>
      </c>
      <c r="AR21" s="995" t="str">
        <f t="shared" ref="AR21" si="10">INDEX($F$11:$F$16,MATCH(AR20,$B$11:$B$16,0))</f>
        <v>Diesel</v>
      </c>
      <c r="AS21" s="1047" t="str">
        <f>INDEX($F$11:$F$16,MATCH(AS20,$B$11:$B$16,0))</f>
        <v>Diesel</v>
      </c>
      <c r="AT21" s="1048" t="str">
        <f t="shared" ref="AT21" si="11">INDEX($F$11:$F$16,MATCH(AT20,$B$11:$B$16,0))</f>
        <v>Diesel</v>
      </c>
      <c r="AU21" s="1048" t="str">
        <f t="shared" ref="AU21" si="12">INDEX($F$11:$F$16,MATCH(AU20,$B$11:$B$16,0))</f>
        <v>Electricity</v>
      </c>
      <c r="AV21" s="1048" t="str">
        <f t="shared" ref="AV21" si="13">INDEX($F$11:$F$16,MATCH(AV20,$B$11:$B$16,0))</f>
        <v>Hydrogen</v>
      </c>
      <c r="AW21" s="1049" t="str">
        <f t="shared" ref="AW21" si="14">INDEX($F$11:$F$16,MATCH(AW20,$B$11:$B$16,0))</f>
        <v>Diesel</v>
      </c>
      <c r="AX21" s="1047" t="str">
        <f>INDEX($F$11:$F$16,MATCH(AX20,$B$11:$B$16,0))</f>
        <v>Diesel</v>
      </c>
      <c r="AY21" s="1048" t="str">
        <f t="shared" ref="AY21" si="15">INDEX($F$11:$F$16,MATCH(AY20,$B$11:$B$16,0))</f>
        <v>Diesel</v>
      </c>
      <c r="AZ21" s="1048" t="str">
        <f t="shared" ref="AZ21" si="16">INDEX($F$11:$F$16,MATCH(AZ20,$B$11:$B$16,0))</f>
        <v>Electricity</v>
      </c>
      <c r="BA21" s="1048" t="str">
        <f t="shared" ref="BA21" si="17">INDEX($F$11:$F$16,MATCH(BA20,$B$11:$B$16,0))</f>
        <v>Hydrogen</v>
      </c>
      <c r="BB21" s="1049" t="str">
        <f t="shared" ref="BB21" si="18">INDEX($F$11:$F$16,MATCH(BB20,$B$11:$B$16,0))</f>
        <v>Diesel</v>
      </c>
      <c r="BC21" s="1058" t="str">
        <f>INDEX($F$11:$F$16,MATCH(BC20,$B$11:$B$16,0))</f>
        <v>Diesel</v>
      </c>
      <c r="BD21" s="1048" t="str">
        <f t="shared" ref="BD21" si="19">INDEX($F$11:$F$16,MATCH(BD20,$B$11:$B$16,0))</f>
        <v>Diesel</v>
      </c>
      <c r="BE21" s="1048" t="str">
        <f t="shared" ref="BE21" si="20">INDEX($F$11:$F$16,MATCH(BE20,$B$11:$B$16,0))</f>
        <v>Diesel</v>
      </c>
      <c r="BF21" s="1048" t="str">
        <f t="shared" ref="BF21" si="21">INDEX($F$11:$F$16,MATCH(BF20,$B$11:$B$16,0))</f>
        <v>Electricity</v>
      </c>
      <c r="BG21" s="1048" t="str">
        <f t="shared" ref="BG21:BH21" si="22">INDEX($F$11:$F$16,MATCH(BG20,$B$11:$B$16,0))</f>
        <v>Hydrogen</v>
      </c>
      <c r="BH21" s="1049" t="str">
        <f t="shared" si="22"/>
        <v>Diesel</v>
      </c>
    </row>
    <row r="22" spans="1:60" x14ac:dyDescent="0.2">
      <c r="A22" s="272"/>
      <c r="B22" s="1091"/>
      <c r="C22" s="1092"/>
      <c r="D22" s="1092"/>
      <c r="E22" s="1092"/>
      <c r="F22" s="1092"/>
      <c r="G22" s="1093"/>
      <c r="H22" s="1085"/>
      <c r="I22" s="1086"/>
      <c r="J22" s="1086"/>
      <c r="K22" s="1086"/>
      <c r="L22" s="1086"/>
      <c r="M22" s="1087"/>
      <c r="N22" s="1039"/>
      <c r="O22" s="1008"/>
      <c r="P22" s="1008"/>
      <c r="Q22" s="1008"/>
      <c r="R22" s="1008"/>
      <c r="S22" s="1009"/>
      <c r="T22" s="1002">
        <f>Q12</f>
        <v>0</v>
      </c>
      <c r="U22" s="1003">
        <f>Q13</f>
        <v>0</v>
      </c>
      <c r="V22" s="1045">
        <f>INDEX($Q$11:$Q$16,MATCH(V20,$B$11:$B$16,0))</f>
        <v>0</v>
      </c>
      <c r="W22" s="1003">
        <f>INDEX($Q$11:$Q$16,MATCH(W20,$B$11:$B$16,0))</f>
        <v>0</v>
      </c>
      <c r="X22" s="1004">
        <f>INDEX($Q$11:$Q$16,MATCH(X20,$B$11:$B$16,0))</f>
        <v>0</v>
      </c>
      <c r="Y22" s="1010" t="b">
        <f>INDEX($H$11:$H$16,MATCH(Y20,$B$11:$B$16,0))</f>
        <v>0</v>
      </c>
      <c r="Z22" s="1011" t="b">
        <f t="shared" ref="Z22:AC22" si="23">INDEX($H$11:$H$16,MATCH(Z20,$B$11:$B$16,0))</f>
        <v>0</v>
      </c>
      <c r="AA22" s="1011" t="b">
        <f t="shared" si="23"/>
        <v>1</v>
      </c>
      <c r="AB22" s="1011" t="b">
        <f t="shared" si="23"/>
        <v>0</v>
      </c>
      <c r="AC22" s="1012" t="b">
        <f t="shared" si="23"/>
        <v>0</v>
      </c>
      <c r="AD22" s="1050">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4">INDEX($K$11:$K$16,MATCH(AJ20,$B$11:$B$16,0))</f>
        <v>0.5</v>
      </c>
      <c r="AK22" s="1053">
        <f t="shared" si="24"/>
        <v>0.5</v>
      </c>
      <c r="AL22" s="1053">
        <f t="shared" si="24"/>
        <v>0.5</v>
      </c>
      <c r="AM22" s="1054">
        <f t="shared" si="24"/>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3.5" thickBot="1" x14ac:dyDescent="0.25">
      <c r="A23" s="774"/>
      <c r="B23" s="1094"/>
      <c r="C23" s="1095"/>
      <c r="D23" s="1095"/>
      <c r="E23" s="1095"/>
      <c r="F23" s="1095"/>
      <c r="G23" s="1096"/>
      <c r="H23" s="1088"/>
      <c r="I23" s="1089"/>
      <c r="J23" s="1089"/>
      <c r="K23" s="1089"/>
      <c r="L23" s="1089"/>
      <c r="M23" s="1090"/>
      <c r="N23" s="1040"/>
      <c r="O23" s="1041"/>
      <c r="P23" s="1041"/>
      <c r="Q23" s="1041"/>
      <c r="R23" s="1041"/>
      <c r="S23" s="1042"/>
      <c r="T23" s="1005"/>
      <c r="U23" s="1006"/>
      <c r="V23" s="1046"/>
      <c r="W23" s="1006"/>
      <c r="X23" s="1007"/>
      <c r="Y23" s="1013"/>
      <c r="Z23" s="1014"/>
      <c r="AA23" s="1014"/>
      <c r="AB23" s="1014"/>
      <c r="AC23" s="1015"/>
      <c r="AD23" s="1051"/>
      <c r="AE23" s="1022"/>
      <c r="AF23" s="1022"/>
      <c r="AG23" s="1022"/>
      <c r="AH23" s="1023"/>
      <c r="AI23" s="1055">
        <f>INDEX($I$11:$I$16,MATCH(AI20,$B$11:$B$16,0))</f>
        <v>2025</v>
      </c>
      <c r="AJ23" s="1056">
        <f t="shared" ref="AJ23:AM23" si="25">INDEX($I$11:$I$16,MATCH(AJ20,$B$11:$B$16,0))</f>
        <v>2025</v>
      </c>
      <c r="AK23" s="1056">
        <f t="shared" si="25"/>
        <v>2025</v>
      </c>
      <c r="AL23" s="1056">
        <f t="shared" si="25"/>
        <v>2025</v>
      </c>
      <c r="AM23" s="1057">
        <f t="shared" si="25"/>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3.5" thickTop="1" x14ac:dyDescent="0.2">
      <c r="A24" s="609">
        <v>2007</v>
      </c>
      <c r="B24" s="809">
        <f t="shared" ref="B24:G33" si="26">ROUND(INDEX(COST_Cls2,$A24-($A$24-1),MATCH(B$20,TECHOPTS_Cls2,0)),2)</f>
        <v>138005</v>
      </c>
      <c r="C24" s="809">
        <f t="shared" si="26"/>
        <v>1000000</v>
      </c>
      <c r="D24" s="809">
        <f t="shared" si="26"/>
        <v>1000000</v>
      </c>
      <c r="E24" s="809">
        <f t="shared" si="26"/>
        <v>1000000</v>
      </c>
      <c r="F24" s="809">
        <f t="shared" si="26"/>
        <v>1000000</v>
      </c>
      <c r="G24" s="810">
        <f t="shared" si="26"/>
        <v>1000000</v>
      </c>
      <c r="H24" s="971">
        <f t="shared" ref="H24:M33" si="27">IF(H$21="Single-fuel",1,1-MIN(INDEX(CDRANGE_CLS2,$A24-($A$24-1),MATCH(H$20,TECHOPTS_Cls2,0))*OPDAYS_Cls2/$D$6,1))</f>
        <v>1</v>
      </c>
      <c r="I24" s="972">
        <f t="shared" si="27"/>
        <v>1</v>
      </c>
      <c r="J24" s="972">
        <f t="shared" si="27"/>
        <v>1</v>
      </c>
      <c r="K24" s="972">
        <f t="shared" si="27"/>
        <v>1</v>
      </c>
      <c r="L24" s="972">
        <f t="shared" si="27"/>
        <v>1</v>
      </c>
      <c r="M24" s="973">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7259.7327820948212</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163282.73320612666</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228103.5373879812</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43034.780126912701</v>
      </c>
      <c r="T24" s="275">
        <f t="shared" ref="T24:T67" si="34">$N24-O24+T$22</f>
        <v>-35775.047344817882</v>
      </c>
      <c r="U24" s="276">
        <f t="shared" ref="U24:U67" si="35">$N24-P24+U$22</f>
        <v>-35775.047344817882</v>
      </c>
      <c r="V24" s="276">
        <f t="shared" ref="V24:V67" si="36">$N24-Q24+V$22</f>
        <v>-156023.00042403184</v>
      </c>
      <c r="W24" s="276">
        <f t="shared" ref="W24:W67" si="37">$N24-R24+W$22</f>
        <v>-220843.80460588637</v>
      </c>
      <c r="X24" s="278">
        <f t="shared" ref="X24:X67" si="38">$N24-S24+X$22</f>
        <v>-35775.047344817882</v>
      </c>
      <c r="Y24" s="279">
        <f ca="1">IF(AND(Y$22=TRUE,INDEX(CDRANGE_CLS2,MATCH($A24,$A$24:$A$67,0),MATCH(Y$20,$B$20:$G$20,0))&lt;$D$6/OPDAYS_Cls2),86,payback(C24,T24,disc_rate/12,85))</f>
        <v>86</v>
      </c>
      <c r="Z24" s="280">
        <f ca="1">IF(AND(Z$22=TRUE,INDEX(CDRANGE_CLS2,MATCH($A24,$A$24:$A$67,0),MATCH(Z$20,$B$20:$G$20,0))&lt;$D$6/OPDAYS_Cls2),86,payback(D24,U24,disc_rate/12,85))</f>
        <v>86</v>
      </c>
      <c r="AA24" s="280">
        <f>IF(AND(AA$22=TRUE,INDEX(CDRANGE_CLS2,MATCH($A24,$A$24:$A$67,0),MATCH(AA$20,$B$20:$G$20,0))&lt;$D$6/OPDAYS_Cls2),86,payback(E24,V24,disc_rate/12,85))</f>
        <v>86</v>
      </c>
      <c r="AB24" s="280">
        <f ca="1">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si="52">MIN(1,MAX(AF24,IF(AA24&gt;85,0,(AK24/0.5)*VLOOKUP(AA24,AdoptDec,$AU$18,0))))</f>
        <v>0</v>
      </c>
      <c r="AV24" s="283">
        <f t="shared" ref="AV24:AV67" ca="1"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si="57">MIN(AU24*AP24,1)</f>
        <v>0</v>
      </c>
      <c r="BA24" s="283">
        <f t="shared" ref="BA24:BB24" ca="1"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1">
        <f t="shared" si="26"/>
        <v>138005</v>
      </c>
      <c r="C25" s="812">
        <f t="shared" si="26"/>
        <v>1000000</v>
      </c>
      <c r="D25" s="812">
        <f t="shared" si="26"/>
        <v>1000000</v>
      </c>
      <c r="E25" s="812">
        <f t="shared" si="26"/>
        <v>1000000</v>
      </c>
      <c r="F25" s="812">
        <f t="shared" si="26"/>
        <v>1000000</v>
      </c>
      <c r="G25" s="813">
        <f t="shared" si="26"/>
        <v>1000000</v>
      </c>
      <c r="H25" s="974">
        <f t="shared" si="27"/>
        <v>1</v>
      </c>
      <c r="I25" s="975">
        <f t="shared" si="27"/>
        <v>1</v>
      </c>
      <c r="J25" s="975">
        <f t="shared" si="27"/>
        <v>1</v>
      </c>
      <c r="K25" s="975">
        <f t="shared" si="27"/>
        <v>1</v>
      </c>
      <c r="L25" s="975">
        <f t="shared" si="27"/>
        <v>1</v>
      </c>
      <c r="M25" s="976">
        <f t="shared" si="27"/>
        <v>1</v>
      </c>
      <c r="N25" s="289">
        <f t="shared" si="28"/>
        <v>9936.8656639125184</v>
      </c>
      <c r="O25" s="290">
        <f t="shared" si="29"/>
        <v>58904.486133682345</v>
      </c>
      <c r="P25" s="290">
        <f t="shared" si="30"/>
        <v>58904.486133682345</v>
      </c>
      <c r="Q25" s="290">
        <f t="shared" si="31"/>
        <v>212071.67021326753</v>
      </c>
      <c r="R25" s="290">
        <f t="shared" si="32"/>
        <v>228103.5373879812</v>
      </c>
      <c r="S25" s="292">
        <f t="shared" si="33"/>
        <v>58904.486133682345</v>
      </c>
      <c r="T25" s="289">
        <f t="shared" si="34"/>
        <v>-48967.620469769827</v>
      </c>
      <c r="U25" s="290">
        <f t="shared" si="35"/>
        <v>-48967.620469769827</v>
      </c>
      <c r="V25" s="290">
        <f t="shared" si="36"/>
        <v>-202134.804549355</v>
      </c>
      <c r="W25" s="290">
        <f t="shared" si="37"/>
        <v>-218166.67172406867</v>
      </c>
      <c r="X25" s="292">
        <f t="shared" si="38"/>
        <v>-48967.620469769827</v>
      </c>
      <c r="Y25" s="293">
        <f ca="1">IF(AND(Y$22=TRUE,INDEX(CDRANGE_CLS2,MATCH($A25,$A$24:$A$67,0),MATCH(Y$20,$B$20:$G$20,0))&lt;$D$6/OPDAYS_Cls2),86,payback(C25,T25,disc_rate/12,85))</f>
        <v>86</v>
      </c>
      <c r="Z25" s="294">
        <f ca="1">IF(AND(Z$22=TRUE,INDEX(CDRANGE_CLS2,MATCH($A25,$A$24:$A$67,0),MATCH(Z$20,$B$20:$G$20,0))&lt;$D$6/OPDAYS_Cls2),86,payback(D25,U25,disc_rate/12,85))</f>
        <v>86</v>
      </c>
      <c r="AA25" s="294">
        <f>IF(AND(AA$22=TRUE,INDEX(CDRANGE_CLS2,MATCH($A25,$A$24:$A$67,0),MATCH(AA$20,$B$20:$G$20,0))&lt;$D$6/OPDAYS_Cls2),86,payback(E25,V25,disc_rate/12,85))</f>
        <v>86</v>
      </c>
      <c r="AB25" s="294">
        <f ca="1">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si="52"/>
        <v>0</v>
      </c>
      <c r="AV25" s="283">
        <f t="shared" ca="1" si="53"/>
        <v>0</v>
      </c>
      <c r="AW25" s="284">
        <f t="shared" ca="1" si="54"/>
        <v>0</v>
      </c>
      <c r="AX25" s="296">
        <f t="shared" ca="1" si="55"/>
        <v>0</v>
      </c>
      <c r="AY25" s="297">
        <f t="shared" ca="1" si="56"/>
        <v>0</v>
      </c>
      <c r="AZ25" s="297">
        <f t="shared" si="57"/>
        <v>0</v>
      </c>
      <c r="BA25" s="283">
        <f t="shared" ref="BA25:BA67" ca="1"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1">
        <f t="shared" si="26"/>
        <v>138005</v>
      </c>
      <c r="C26" s="812">
        <f t="shared" si="26"/>
        <v>1000000</v>
      </c>
      <c r="D26" s="812">
        <f t="shared" si="26"/>
        <v>1000000</v>
      </c>
      <c r="E26" s="812">
        <f t="shared" si="26"/>
        <v>1000000</v>
      </c>
      <c r="F26" s="812">
        <f t="shared" si="26"/>
        <v>1000000</v>
      </c>
      <c r="G26" s="813">
        <f t="shared" si="26"/>
        <v>1000000</v>
      </c>
      <c r="H26" s="974">
        <f t="shared" si="27"/>
        <v>1</v>
      </c>
      <c r="I26" s="975">
        <f t="shared" si="27"/>
        <v>1</v>
      </c>
      <c r="J26" s="975">
        <f t="shared" si="27"/>
        <v>1</v>
      </c>
      <c r="K26" s="975">
        <f t="shared" si="27"/>
        <v>1</v>
      </c>
      <c r="L26" s="975">
        <f t="shared" si="27"/>
        <v>1</v>
      </c>
      <c r="M26" s="976">
        <f t="shared" si="27"/>
        <v>1</v>
      </c>
      <c r="N26" s="289">
        <f t="shared" si="28"/>
        <v>6422.7956986557438</v>
      </c>
      <c r="O26" s="290">
        <f t="shared" si="29"/>
        <v>38073.522674752407</v>
      </c>
      <c r="P26" s="290">
        <f t="shared" si="30"/>
        <v>38073.522674752407</v>
      </c>
      <c r="Q26" s="290">
        <f t="shared" si="31"/>
        <v>317800.49753746408</v>
      </c>
      <c r="R26" s="290">
        <f t="shared" si="32"/>
        <v>228103.5373879812</v>
      </c>
      <c r="S26" s="292">
        <f t="shared" si="33"/>
        <v>38073.522674752407</v>
      </c>
      <c r="T26" s="289">
        <f t="shared" si="34"/>
        <v>-31650.726976096663</v>
      </c>
      <c r="U26" s="290">
        <f t="shared" si="35"/>
        <v>-31650.726976096663</v>
      </c>
      <c r="V26" s="290">
        <f t="shared" si="36"/>
        <v>-311377.70183880831</v>
      </c>
      <c r="W26" s="290">
        <f t="shared" si="37"/>
        <v>-221680.74168932546</v>
      </c>
      <c r="X26" s="292">
        <f t="shared" si="38"/>
        <v>-31650.726976096663</v>
      </c>
      <c r="Y26" s="293">
        <f ca="1">IF(AND(Y$22=TRUE,INDEX(CDRANGE_CLS2,MATCH($A26,$A$24:$A$67,0),MATCH(Y$20,$B$20:$G$20,0))&lt;$D$6/OPDAYS_Cls2),86,payback(C26,T26,disc_rate/12,85))</f>
        <v>86</v>
      </c>
      <c r="Z26" s="294">
        <f ca="1">IF(AND(Z$22=TRUE,INDEX(CDRANGE_CLS2,MATCH($A26,$A$24:$A$67,0),MATCH(Z$20,$B$20:$G$20,0))&lt;$D$6/OPDAYS_Cls2),86,payback(D26,U26,disc_rate/12,85))</f>
        <v>86</v>
      </c>
      <c r="AA26" s="294">
        <f>IF(AND(AA$22=TRUE,INDEX(CDRANGE_CLS2,MATCH($A26,$A$24:$A$67,0),MATCH(AA$20,$B$20:$G$20,0))&lt;$D$6/OPDAYS_Cls2),86,payback(E26,V26,disc_rate/12,85))</f>
        <v>86</v>
      </c>
      <c r="AB26" s="294">
        <f ca="1">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si="52"/>
        <v>0</v>
      </c>
      <c r="AV26" s="283">
        <f t="shared" ca="1" si="53"/>
        <v>0</v>
      </c>
      <c r="AW26" s="284">
        <f t="shared" ca="1" si="54"/>
        <v>0</v>
      </c>
      <c r="AX26" s="296">
        <f t="shared" ca="1" si="55"/>
        <v>0</v>
      </c>
      <c r="AY26" s="297">
        <f t="shared" ca="1" si="56"/>
        <v>0</v>
      </c>
      <c r="AZ26" s="297">
        <f t="shared" si="57"/>
        <v>0</v>
      </c>
      <c r="BA26" s="283">
        <f t="shared" ca="1"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3.5" thickBot="1" x14ac:dyDescent="0.25">
      <c r="A27" s="302">
        <v>2010</v>
      </c>
      <c r="B27" s="814">
        <f t="shared" si="26"/>
        <v>138005</v>
      </c>
      <c r="C27" s="815">
        <f t="shared" si="26"/>
        <v>1000000</v>
      </c>
      <c r="D27" s="815">
        <f t="shared" si="26"/>
        <v>1000000</v>
      </c>
      <c r="E27" s="815">
        <f t="shared" si="26"/>
        <v>1000000</v>
      </c>
      <c r="F27" s="815">
        <f t="shared" si="26"/>
        <v>1000000</v>
      </c>
      <c r="G27" s="816">
        <f t="shared" si="26"/>
        <v>1000000</v>
      </c>
      <c r="H27" s="977">
        <f t="shared" si="27"/>
        <v>1</v>
      </c>
      <c r="I27" s="978">
        <f t="shared" si="27"/>
        <v>1</v>
      </c>
      <c r="J27" s="978">
        <f t="shared" si="27"/>
        <v>1</v>
      </c>
      <c r="K27" s="978">
        <f t="shared" si="27"/>
        <v>1</v>
      </c>
      <c r="L27" s="978">
        <f t="shared" si="27"/>
        <v>1</v>
      </c>
      <c r="M27" s="979">
        <f t="shared" si="27"/>
        <v>1</v>
      </c>
      <c r="N27" s="303">
        <f t="shared" si="28"/>
        <v>8302.8605049893504</v>
      </c>
      <c r="O27" s="304">
        <f t="shared" si="29"/>
        <v>46935.908245807492</v>
      </c>
      <c r="P27" s="304">
        <f t="shared" si="30"/>
        <v>46935.908245807492</v>
      </c>
      <c r="Q27" s="304">
        <f t="shared" si="31"/>
        <v>228550.91432391098</v>
      </c>
      <c r="R27" s="304">
        <f t="shared" si="32"/>
        <v>228103.5373879812</v>
      </c>
      <c r="S27" s="306">
        <f t="shared" si="33"/>
        <v>46935.908245807492</v>
      </c>
      <c r="T27" s="303">
        <f t="shared" si="34"/>
        <v>-38633.04774081814</v>
      </c>
      <c r="U27" s="304">
        <f t="shared" si="35"/>
        <v>-38633.04774081814</v>
      </c>
      <c r="V27" s="304">
        <f t="shared" si="36"/>
        <v>-220248.05381892165</v>
      </c>
      <c r="W27" s="304">
        <f t="shared" si="37"/>
        <v>-219800.67688299186</v>
      </c>
      <c r="X27" s="306">
        <f t="shared" si="38"/>
        <v>-38633.04774081814</v>
      </c>
      <c r="Y27" s="307">
        <f ca="1">IF(AND(Y$22=TRUE,INDEX(CDRANGE_CLS2,MATCH($A27,$A$24:$A$67,0),MATCH(Y$20,$B$20:$G$20,0))&lt;$D$6/OPDAYS_Cls2),86,payback(C27,T27,disc_rate/12,85))</f>
        <v>86</v>
      </c>
      <c r="Z27" s="308">
        <f ca="1">IF(AND(Z$22=TRUE,INDEX(CDRANGE_CLS2,MATCH($A27,$A$24:$A$67,0),MATCH(Z$20,$B$20:$G$20,0))&lt;$D$6/OPDAYS_Cls2),86,payback(D27,U27,disc_rate/12,85))</f>
        <v>86</v>
      </c>
      <c r="AA27" s="308">
        <f>IF(AND(AA$22=TRUE,INDEX(CDRANGE_CLS2,MATCH($A27,$A$24:$A$67,0),MATCH(AA$20,$B$20:$G$20,0))&lt;$D$6/OPDAYS_Cls2),86,payback(E27,V27,disc_rate/12,85))</f>
        <v>86</v>
      </c>
      <c r="AB27" s="308">
        <f ca="1">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si="52"/>
        <v>0</v>
      </c>
      <c r="AV27" s="320">
        <f t="shared" ca="1" si="53"/>
        <v>0</v>
      </c>
      <c r="AW27" s="321">
        <f t="shared" ca="1" si="54"/>
        <v>0</v>
      </c>
      <c r="AX27" s="310">
        <f t="shared" ca="1" si="55"/>
        <v>0</v>
      </c>
      <c r="AY27" s="311">
        <f t="shared" ca="1" si="56"/>
        <v>0</v>
      </c>
      <c r="AZ27" s="311">
        <f t="shared" si="57"/>
        <v>0</v>
      </c>
      <c r="BA27" s="311">
        <f t="shared" ca="1"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7">
        <f t="shared" si="26"/>
        <v>138005</v>
      </c>
      <c r="C28" s="818">
        <f t="shared" si="26"/>
        <v>1000000</v>
      </c>
      <c r="D28" s="818">
        <f t="shared" si="26"/>
        <v>1000000</v>
      </c>
      <c r="E28" s="818">
        <f t="shared" si="26"/>
        <v>1000000</v>
      </c>
      <c r="F28" s="818">
        <f t="shared" si="26"/>
        <v>1000000</v>
      </c>
      <c r="G28" s="819">
        <f t="shared" si="26"/>
        <v>1000000</v>
      </c>
      <c r="H28" s="980">
        <f t="shared" si="27"/>
        <v>1</v>
      </c>
      <c r="I28" s="981">
        <f t="shared" si="27"/>
        <v>1</v>
      </c>
      <c r="J28" s="981">
        <f t="shared" si="27"/>
        <v>1</v>
      </c>
      <c r="K28" s="981">
        <f t="shared" si="27"/>
        <v>1</v>
      </c>
      <c r="L28" s="981">
        <f t="shared" si="27"/>
        <v>1</v>
      </c>
      <c r="M28" s="982">
        <f t="shared" si="27"/>
        <v>1</v>
      </c>
      <c r="N28" s="275">
        <f t="shared" si="28"/>
        <v>10769.163275788072</v>
      </c>
      <c r="O28" s="276">
        <f t="shared" si="29"/>
        <v>62135.793122563649</v>
      </c>
      <c r="P28" s="276">
        <f t="shared" si="30"/>
        <v>62135.793122563649</v>
      </c>
      <c r="Q28" s="276">
        <f t="shared" si="31"/>
        <v>180550.88145288127</v>
      </c>
      <c r="R28" s="276">
        <f t="shared" si="32"/>
        <v>228103.5373879812</v>
      </c>
      <c r="S28" s="278">
        <f t="shared" si="33"/>
        <v>62135.793122563649</v>
      </c>
      <c r="T28" s="275">
        <f t="shared" si="34"/>
        <v>-51366.629846775577</v>
      </c>
      <c r="U28" s="276">
        <f t="shared" si="35"/>
        <v>-51366.629846775577</v>
      </c>
      <c r="V28" s="276">
        <f t="shared" si="36"/>
        <v>-169781.71817709319</v>
      </c>
      <c r="W28" s="276">
        <f t="shared" si="37"/>
        <v>-217334.37411219312</v>
      </c>
      <c r="X28" s="278">
        <f t="shared" si="38"/>
        <v>-51366.629846775577</v>
      </c>
      <c r="Y28" s="279">
        <f ca="1">IF(AND(Y$22=TRUE,INDEX(CDRANGE_CLS2,MATCH($A28,$A$24:$A$67,0),MATCH(Y$20,$B$20:$G$20,0))&lt;$D$6/OPDAYS_Cls2),86,payback(C28,T28,disc_rate/12,85))</f>
        <v>86</v>
      </c>
      <c r="Z28" s="280">
        <f ca="1">IF(AND(Z$22=TRUE,INDEX(CDRANGE_CLS2,MATCH($A28,$A$24:$A$67,0),MATCH(Z$20,$B$20:$G$20,0))&lt;$D$6/OPDAYS_Cls2),86,payback(D28,U28,disc_rate/12,85))</f>
        <v>86</v>
      </c>
      <c r="AA28" s="280">
        <f>IF(AND(AA$22=TRUE,INDEX(CDRANGE_CLS2,MATCH($A28,$A$24:$A$67,0),MATCH(AA$20,$B$20:$G$20,0))&lt;$D$6/OPDAYS_Cls2),86,payback(E28,V28,disc_rate/12,85))</f>
        <v>86</v>
      </c>
      <c r="AB28" s="280">
        <f ca="1">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si="52"/>
        <v>0</v>
      </c>
      <c r="AV28" s="283">
        <f t="shared" ca="1" si="53"/>
        <v>0</v>
      </c>
      <c r="AW28" s="284">
        <f t="shared" ca="1" si="54"/>
        <v>0</v>
      </c>
      <c r="AX28" s="282">
        <f t="shared" ca="1" si="55"/>
        <v>0</v>
      </c>
      <c r="AY28" s="283">
        <f t="shared" ca="1" si="56"/>
        <v>0</v>
      </c>
      <c r="AZ28" s="283">
        <f t="shared" si="57"/>
        <v>0</v>
      </c>
      <c r="BA28" s="283">
        <f t="shared" ca="1"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20">
        <f t="shared" si="26"/>
        <v>138005</v>
      </c>
      <c r="C29" s="821">
        <f t="shared" si="26"/>
        <v>1000000</v>
      </c>
      <c r="D29" s="821">
        <f t="shared" si="26"/>
        <v>1000000</v>
      </c>
      <c r="E29" s="821">
        <f t="shared" si="26"/>
        <v>1000000</v>
      </c>
      <c r="F29" s="821">
        <f t="shared" si="26"/>
        <v>1000000</v>
      </c>
      <c r="G29" s="822">
        <f t="shared" si="26"/>
        <v>1000000</v>
      </c>
      <c r="H29" s="983">
        <f t="shared" si="27"/>
        <v>1</v>
      </c>
      <c r="I29" s="984">
        <f t="shared" si="27"/>
        <v>1</v>
      </c>
      <c r="J29" s="984">
        <f t="shared" si="27"/>
        <v>1</v>
      </c>
      <c r="K29" s="984">
        <f t="shared" si="27"/>
        <v>1</v>
      </c>
      <c r="L29" s="984">
        <f t="shared" si="27"/>
        <v>1</v>
      </c>
      <c r="M29" s="985">
        <f t="shared" si="27"/>
        <v>1</v>
      </c>
      <c r="N29" s="289">
        <f t="shared" si="28"/>
        <v>11268.951158115427</v>
      </c>
      <c r="O29" s="290">
        <f t="shared" si="29"/>
        <v>65536.094100928531</v>
      </c>
      <c r="P29" s="290">
        <f t="shared" si="30"/>
        <v>65536.094100928531</v>
      </c>
      <c r="Q29" s="290">
        <f t="shared" si="31"/>
        <v>154327.28940737376</v>
      </c>
      <c r="R29" s="290">
        <f t="shared" si="32"/>
        <v>228103.5373879812</v>
      </c>
      <c r="S29" s="292">
        <f t="shared" si="33"/>
        <v>65536.094100928531</v>
      </c>
      <c r="T29" s="289">
        <f t="shared" si="34"/>
        <v>-54267.142942813101</v>
      </c>
      <c r="U29" s="290">
        <f t="shared" si="35"/>
        <v>-54267.142942813101</v>
      </c>
      <c r="V29" s="290">
        <f t="shared" si="36"/>
        <v>-143058.33824925832</v>
      </c>
      <c r="W29" s="290">
        <f t="shared" si="37"/>
        <v>-216834.58622986576</v>
      </c>
      <c r="X29" s="292">
        <f t="shared" si="38"/>
        <v>-54267.142942813101</v>
      </c>
      <c r="Y29" s="293">
        <f ca="1">IF(AND(Y$22=TRUE,INDEX(CDRANGE_CLS2,MATCH($A29,$A$24:$A$67,0),MATCH(Y$20,$B$20:$G$20,0))&lt;$D$6/OPDAYS_Cls2),86,payback(C29,T29,disc_rate/12,85))</f>
        <v>86</v>
      </c>
      <c r="Z29" s="294">
        <f ca="1">IF(AND(Z$22=TRUE,INDEX(CDRANGE_CLS2,MATCH($A29,$A$24:$A$67,0),MATCH(Z$20,$B$20:$G$20,0))&lt;$D$6/OPDAYS_Cls2),86,payback(D29,U29,disc_rate/12,85))</f>
        <v>86</v>
      </c>
      <c r="AA29" s="294">
        <f>IF(AND(AA$22=TRUE,INDEX(CDRANGE_CLS2,MATCH($A29,$A$24:$A$67,0),MATCH(AA$20,$B$20:$G$20,0))&lt;$D$6/OPDAYS_Cls2),86,payback(E29,V29,disc_rate/12,85))</f>
        <v>86</v>
      </c>
      <c r="AB29" s="294">
        <f ca="1">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si="52"/>
        <v>0</v>
      </c>
      <c r="AV29" s="283">
        <f t="shared" ca="1" si="53"/>
        <v>0</v>
      </c>
      <c r="AW29" s="284">
        <f t="shared" ca="1" si="54"/>
        <v>0</v>
      </c>
      <c r="AX29" s="296">
        <f t="shared" ca="1" si="55"/>
        <v>0</v>
      </c>
      <c r="AY29" s="297">
        <f t="shared" ca="1" si="56"/>
        <v>0</v>
      </c>
      <c r="AZ29" s="297">
        <f t="shared" si="57"/>
        <v>0</v>
      </c>
      <c r="BA29" s="283">
        <f t="shared" ca="1"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20">
        <f t="shared" si="26"/>
        <v>138005</v>
      </c>
      <c r="C30" s="821">
        <f t="shared" si="26"/>
        <v>1000000</v>
      </c>
      <c r="D30" s="821">
        <f t="shared" si="26"/>
        <v>1000000</v>
      </c>
      <c r="E30" s="821">
        <f t="shared" si="26"/>
        <v>1000000</v>
      </c>
      <c r="F30" s="821">
        <f t="shared" si="26"/>
        <v>1000000</v>
      </c>
      <c r="G30" s="822">
        <f t="shared" si="26"/>
        <v>1000000</v>
      </c>
      <c r="H30" s="983">
        <f t="shared" si="27"/>
        <v>1</v>
      </c>
      <c r="I30" s="984">
        <f t="shared" si="27"/>
        <v>1</v>
      </c>
      <c r="J30" s="984">
        <f t="shared" si="27"/>
        <v>1</v>
      </c>
      <c r="K30" s="984">
        <f t="shared" si="27"/>
        <v>1</v>
      </c>
      <c r="L30" s="984">
        <f t="shared" si="27"/>
        <v>1</v>
      </c>
      <c r="M30" s="985">
        <f t="shared" si="27"/>
        <v>1</v>
      </c>
      <c r="N30" s="289">
        <f t="shared" si="28"/>
        <v>11094.471972736092</v>
      </c>
      <c r="O30" s="290">
        <f t="shared" si="29"/>
        <v>65728.783480081052</v>
      </c>
      <c r="P30" s="290">
        <f t="shared" si="30"/>
        <v>65728.783480081052</v>
      </c>
      <c r="Q30" s="290">
        <f t="shared" si="31"/>
        <v>158190.65391351801</v>
      </c>
      <c r="R30" s="290">
        <f t="shared" si="32"/>
        <v>228103.5373879812</v>
      </c>
      <c r="S30" s="292">
        <f t="shared" si="33"/>
        <v>65728.783480081052</v>
      </c>
      <c r="T30" s="289">
        <f t="shared" si="34"/>
        <v>-54634.311507344959</v>
      </c>
      <c r="U30" s="290">
        <f t="shared" si="35"/>
        <v>-54634.311507344959</v>
      </c>
      <c r="V30" s="290">
        <f t="shared" si="36"/>
        <v>-147096.18194078191</v>
      </c>
      <c r="W30" s="290">
        <f t="shared" si="37"/>
        <v>-217009.0654152451</v>
      </c>
      <c r="X30" s="292">
        <f t="shared" si="38"/>
        <v>-54634.311507344959</v>
      </c>
      <c r="Y30" s="293">
        <f ca="1">IF(AND(Y$22=TRUE,INDEX(CDRANGE_CLS2,MATCH($A30,$A$24:$A$67,0),MATCH(Y$20,$B$20:$G$20,0))&lt;$D$6/OPDAYS_Cls2),86,payback(C30,T30,disc_rate/12,85))</f>
        <v>86</v>
      </c>
      <c r="Z30" s="294">
        <f ca="1">IF(AND(Z$22=TRUE,INDEX(CDRANGE_CLS2,MATCH($A30,$A$24:$A$67,0),MATCH(Z$20,$B$20:$G$20,0))&lt;$D$6/OPDAYS_Cls2),86,payback(D30,U30,disc_rate/12,85))</f>
        <v>86</v>
      </c>
      <c r="AA30" s="294">
        <f>IF(AND(AA$22=TRUE,INDEX(CDRANGE_CLS2,MATCH($A30,$A$24:$A$67,0),MATCH(AA$20,$B$20:$G$20,0))&lt;$D$6/OPDAYS_Cls2),86,payback(E30,V30,disc_rate/12,85))</f>
        <v>86</v>
      </c>
      <c r="AB30" s="294">
        <f ca="1">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si="52"/>
        <v>0</v>
      </c>
      <c r="AV30" s="283">
        <f t="shared" ca="1" si="53"/>
        <v>0</v>
      </c>
      <c r="AW30" s="284">
        <f t="shared" ca="1" si="54"/>
        <v>0</v>
      </c>
      <c r="AX30" s="296">
        <f t="shared" ca="1" si="55"/>
        <v>0</v>
      </c>
      <c r="AY30" s="297">
        <f t="shared" ca="1" si="56"/>
        <v>0</v>
      </c>
      <c r="AZ30" s="297">
        <f t="shared" si="57"/>
        <v>0</v>
      </c>
      <c r="BA30" s="283">
        <f t="shared" ca="1"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20">
        <f t="shared" si="26"/>
        <v>138005</v>
      </c>
      <c r="C31" s="821">
        <f t="shared" si="26"/>
        <v>1000000</v>
      </c>
      <c r="D31" s="821">
        <f t="shared" si="26"/>
        <v>1000000</v>
      </c>
      <c r="E31" s="821">
        <f t="shared" si="26"/>
        <v>1000000</v>
      </c>
      <c r="F31" s="821">
        <f t="shared" si="26"/>
        <v>1000000</v>
      </c>
      <c r="G31" s="822">
        <f t="shared" si="26"/>
        <v>1000000</v>
      </c>
      <c r="H31" s="983">
        <f t="shared" si="27"/>
        <v>1</v>
      </c>
      <c r="I31" s="984">
        <f t="shared" si="27"/>
        <v>1</v>
      </c>
      <c r="J31" s="984">
        <f t="shared" si="27"/>
        <v>1</v>
      </c>
      <c r="K31" s="984">
        <f t="shared" si="27"/>
        <v>1</v>
      </c>
      <c r="L31" s="984">
        <f t="shared" si="27"/>
        <v>1</v>
      </c>
      <c r="M31" s="985">
        <f t="shared" si="27"/>
        <v>1</v>
      </c>
      <c r="N31" s="289">
        <f t="shared" si="28"/>
        <v>10751.888286020778</v>
      </c>
      <c r="O31" s="290">
        <f t="shared" si="29"/>
        <v>65138.804843422527</v>
      </c>
      <c r="P31" s="290">
        <f t="shared" si="30"/>
        <v>65138.804843422527</v>
      </c>
      <c r="Q31" s="290">
        <f t="shared" si="31"/>
        <v>164185.43047193429</v>
      </c>
      <c r="R31" s="290">
        <f t="shared" si="32"/>
        <v>228103.5373879812</v>
      </c>
      <c r="S31" s="292">
        <f t="shared" si="33"/>
        <v>65138.804843422527</v>
      </c>
      <c r="T31" s="289">
        <f t="shared" si="34"/>
        <v>-54386.916557401753</v>
      </c>
      <c r="U31" s="290">
        <f t="shared" si="35"/>
        <v>-54386.916557401753</v>
      </c>
      <c r="V31" s="290">
        <f t="shared" si="36"/>
        <v>-153433.54218591351</v>
      </c>
      <c r="W31" s="290">
        <f t="shared" si="37"/>
        <v>-217351.64910196041</v>
      </c>
      <c r="X31" s="292">
        <f t="shared" si="38"/>
        <v>-54386.916557401753</v>
      </c>
      <c r="Y31" s="293">
        <f ca="1">IF(AND(Y$22=TRUE,INDEX(CDRANGE_CLS2,MATCH($A31,$A$24:$A$67,0),MATCH(Y$20,$B$20:$G$20,0))&lt;$D$6/OPDAYS_Cls2),86,payback(C31,T31,disc_rate/12,85))</f>
        <v>86</v>
      </c>
      <c r="Z31" s="294">
        <f ca="1">IF(AND(Z$22=TRUE,INDEX(CDRANGE_CLS2,MATCH($A31,$A$24:$A$67,0),MATCH(Z$20,$B$20:$G$20,0))&lt;$D$6/OPDAYS_Cls2),86,payback(D31,U31,disc_rate/12,85))</f>
        <v>86</v>
      </c>
      <c r="AA31" s="294">
        <f>IF(AND(AA$22=TRUE,INDEX(CDRANGE_CLS2,MATCH($A31,$A$24:$A$67,0),MATCH(AA$20,$B$20:$G$20,0))&lt;$D$6/OPDAYS_Cls2),86,payback(E31,V31,disc_rate/12,85))</f>
        <v>86</v>
      </c>
      <c r="AB31" s="294">
        <f ca="1">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si="52"/>
        <v>0</v>
      </c>
      <c r="AV31" s="283">
        <f t="shared" ca="1" si="53"/>
        <v>0</v>
      </c>
      <c r="AW31" s="284">
        <f t="shared" ca="1" si="54"/>
        <v>0</v>
      </c>
      <c r="AX31" s="296">
        <f t="shared" ca="1" si="55"/>
        <v>0</v>
      </c>
      <c r="AY31" s="297">
        <f t="shared" ca="1" si="56"/>
        <v>0</v>
      </c>
      <c r="AZ31" s="297">
        <f t="shared" si="57"/>
        <v>0</v>
      </c>
      <c r="BA31" s="283">
        <f t="shared" ca="1"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3.5" thickBot="1" x14ac:dyDescent="0.25">
      <c r="A32" s="302">
        <v>2015</v>
      </c>
      <c r="B32" s="823">
        <f t="shared" si="26"/>
        <v>138005</v>
      </c>
      <c r="C32" s="824">
        <f t="shared" si="26"/>
        <v>1000000</v>
      </c>
      <c r="D32" s="824">
        <f t="shared" si="26"/>
        <v>1000000</v>
      </c>
      <c r="E32" s="824">
        <f t="shared" si="26"/>
        <v>1000000</v>
      </c>
      <c r="F32" s="824">
        <f t="shared" si="26"/>
        <v>1000000</v>
      </c>
      <c r="G32" s="825">
        <f t="shared" si="26"/>
        <v>1000000</v>
      </c>
      <c r="H32" s="977">
        <f t="shared" si="27"/>
        <v>1</v>
      </c>
      <c r="I32" s="978">
        <f t="shared" si="27"/>
        <v>1</v>
      </c>
      <c r="J32" s="978">
        <f t="shared" si="27"/>
        <v>1</v>
      </c>
      <c r="K32" s="978">
        <f t="shared" si="27"/>
        <v>1</v>
      </c>
      <c r="L32" s="978">
        <f t="shared" si="27"/>
        <v>1</v>
      </c>
      <c r="M32" s="979">
        <f t="shared" si="27"/>
        <v>1</v>
      </c>
      <c r="N32" s="303">
        <f t="shared" si="28"/>
        <v>7480.9042412369681</v>
      </c>
      <c r="O32" s="304">
        <f t="shared" si="29"/>
        <v>46159.989605920513</v>
      </c>
      <c r="P32" s="304">
        <f t="shared" si="30"/>
        <v>46159.989605920513</v>
      </c>
      <c r="Q32" s="304">
        <f t="shared" si="31"/>
        <v>150432.47159040737</v>
      </c>
      <c r="R32" s="304">
        <f t="shared" si="32"/>
        <v>228103.5373879812</v>
      </c>
      <c r="S32" s="306">
        <f t="shared" si="33"/>
        <v>46159.989605920513</v>
      </c>
      <c r="T32" s="303">
        <f t="shared" si="34"/>
        <v>-38679.085364683546</v>
      </c>
      <c r="U32" s="304">
        <f t="shared" si="35"/>
        <v>-38679.085364683546</v>
      </c>
      <c r="V32" s="304">
        <f t="shared" si="36"/>
        <v>-142951.56734917039</v>
      </c>
      <c r="W32" s="304">
        <f t="shared" si="37"/>
        <v>-220622.63314674422</v>
      </c>
      <c r="X32" s="306">
        <f t="shared" si="38"/>
        <v>-38679.085364683546</v>
      </c>
      <c r="Y32" s="307">
        <f ca="1">IF(AND(Y$22=TRUE,INDEX(CDRANGE_CLS2,MATCH($A32,$A$24:$A$67,0),MATCH(Y$20,$B$20:$G$20,0))&lt;$D$6/OPDAYS_Cls2),86,payback(C32,T32,disc_rate/12,85))</f>
        <v>86</v>
      </c>
      <c r="Z32" s="308">
        <f ca="1">IF(AND(Z$22=TRUE,INDEX(CDRANGE_CLS2,MATCH($A32,$A$24:$A$67,0),MATCH(Z$20,$B$20:$G$20,0))&lt;$D$6/OPDAYS_Cls2),86,payback(D32,U32,disc_rate/12,85))</f>
        <v>86</v>
      </c>
      <c r="AA32" s="308">
        <f>IF(AND(AA$22=TRUE,INDEX(CDRANGE_CLS2,MATCH($A32,$A$24:$A$67,0),MATCH(AA$20,$B$20:$G$20,0))&lt;$D$6/OPDAYS_Cls2),86,payback(E32,V32,disc_rate/12,85))</f>
        <v>86</v>
      </c>
      <c r="AB32" s="308">
        <f ca="1">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30">
        <f t="shared" ca="1" si="50"/>
        <v>0</v>
      </c>
      <c r="AT32" s="831">
        <f t="shared" ca="1" si="51"/>
        <v>0</v>
      </c>
      <c r="AU32" s="831">
        <f t="shared" si="52"/>
        <v>0</v>
      </c>
      <c r="AV32" s="831">
        <f t="shared" ca="1" si="53"/>
        <v>0</v>
      </c>
      <c r="AW32" s="832">
        <f t="shared" ca="1" si="54"/>
        <v>0</v>
      </c>
      <c r="AX32" s="310">
        <f t="shared" ca="1" si="55"/>
        <v>0</v>
      </c>
      <c r="AY32" s="311">
        <f t="shared" ca="1" si="56"/>
        <v>0</v>
      </c>
      <c r="AZ32" s="311">
        <f t="shared" si="57"/>
        <v>0</v>
      </c>
      <c r="BA32" s="311">
        <f t="shared" ca="1"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6">
        <f t="shared" si="26"/>
        <v>138005</v>
      </c>
      <c r="C33" s="827">
        <f t="shared" si="26"/>
        <v>1000000</v>
      </c>
      <c r="D33" s="827">
        <f t="shared" si="26"/>
        <v>1000000</v>
      </c>
      <c r="E33" s="827">
        <f t="shared" si="26"/>
        <v>1000000</v>
      </c>
      <c r="F33" s="827">
        <f t="shared" si="26"/>
        <v>1000000</v>
      </c>
      <c r="G33" s="828">
        <f t="shared" si="26"/>
        <v>1000000</v>
      </c>
      <c r="H33" s="980">
        <f t="shared" si="27"/>
        <v>1</v>
      </c>
      <c r="I33" s="981">
        <f t="shared" si="27"/>
        <v>1</v>
      </c>
      <c r="J33" s="981">
        <f t="shared" si="27"/>
        <v>1</v>
      </c>
      <c r="K33" s="981">
        <f t="shared" si="27"/>
        <v>1</v>
      </c>
      <c r="L33" s="981">
        <f t="shared" si="27"/>
        <v>1</v>
      </c>
      <c r="M33" s="982">
        <f t="shared" si="27"/>
        <v>1</v>
      </c>
      <c r="N33" s="275">
        <f t="shared" si="28"/>
        <v>6315.5918076733169</v>
      </c>
      <c r="O33" s="276">
        <f t="shared" si="29"/>
        <v>39783.19988851255</v>
      </c>
      <c r="P33" s="276">
        <f t="shared" si="30"/>
        <v>39783.19988851255</v>
      </c>
      <c r="Q33" s="276">
        <f t="shared" si="31"/>
        <v>147370.93947497665</v>
      </c>
      <c r="R33" s="276">
        <f t="shared" si="32"/>
        <v>218599.22333014864</v>
      </c>
      <c r="S33" s="278">
        <f t="shared" si="33"/>
        <v>39783.19988851255</v>
      </c>
      <c r="T33" s="275">
        <f t="shared" si="34"/>
        <v>-33467.608080839236</v>
      </c>
      <c r="U33" s="276">
        <f t="shared" si="35"/>
        <v>-33467.608080839236</v>
      </c>
      <c r="V33" s="276">
        <f t="shared" si="36"/>
        <v>-141055.34766730334</v>
      </c>
      <c r="W33" s="276">
        <f t="shared" si="37"/>
        <v>-212283.63152247533</v>
      </c>
      <c r="X33" s="278">
        <f t="shared" si="38"/>
        <v>-33467.608080839236</v>
      </c>
      <c r="Y33" s="279">
        <f ca="1">IF(AND(Y$22=TRUE,INDEX(CDRANGE_CLS2,MATCH($A33,$A$24:$A$67,0),MATCH(Y$20,$B$20:$G$20,0))&lt;$D$6/OPDAYS_Cls2),86,payback(C33,T33,disc_rate/12,85))</f>
        <v>86</v>
      </c>
      <c r="Z33" s="280">
        <f ca="1">IF(AND(Z$22=TRUE,INDEX(CDRANGE_CLS2,MATCH($A33,$A$24:$A$67,0),MATCH(Z$20,$B$20:$G$20,0))&lt;$D$6/OPDAYS_Cls2),86,payback(D33,U33,disc_rate/12,85))</f>
        <v>86</v>
      </c>
      <c r="AA33" s="280">
        <f>IF(AND(AA$22=TRUE,INDEX(CDRANGE_CLS2,MATCH($A33,$A$24:$A$67,0),MATCH(AA$20,$B$20:$G$20,0))&lt;$D$6/OPDAYS_Cls2),86,payback(E33,V33,disc_rate/12,85))</f>
        <v>86</v>
      </c>
      <c r="AB33" s="280">
        <f ca="1">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si="52"/>
        <v>0</v>
      </c>
      <c r="AV33" s="638">
        <f t="shared" ca="1" si="53"/>
        <v>0</v>
      </c>
      <c r="AW33" s="639">
        <f t="shared" ca="1" si="54"/>
        <v>0</v>
      </c>
      <c r="AX33" s="282">
        <f t="shared" ca="1" si="55"/>
        <v>0</v>
      </c>
      <c r="AY33" s="283">
        <f t="shared" ca="1" si="56"/>
        <v>0</v>
      </c>
      <c r="AZ33" s="283">
        <f t="shared" si="57"/>
        <v>0</v>
      </c>
      <c r="BA33" s="283">
        <f t="shared" ca="1"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20">
        <f t="shared" ref="B34:G43" si="69">ROUND(INDEX(COST_Cls2,$A34-($A$24-1),MATCH(B$20,TECHOPTS_Cls2,0)),2)</f>
        <v>138005</v>
      </c>
      <c r="C34" s="821">
        <f t="shared" si="69"/>
        <v>1000000</v>
      </c>
      <c r="D34" s="821">
        <f t="shared" si="69"/>
        <v>1000000</v>
      </c>
      <c r="E34" s="821">
        <f t="shared" si="69"/>
        <v>1000000</v>
      </c>
      <c r="F34" s="821">
        <f t="shared" si="69"/>
        <v>1000000</v>
      </c>
      <c r="G34" s="822">
        <f t="shared" si="69"/>
        <v>1000000</v>
      </c>
      <c r="H34" s="983">
        <f t="shared" ref="H34:M43" si="70">IF(H$21="Single-fuel",1,1-MIN(INDEX(CDRANGE_CLS2,$A34-($A$24-1),MATCH(H$20,TECHOPTS_Cls2,0))*OPDAYS_Cls2/$D$6,1))</f>
        <v>1</v>
      </c>
      <c r="I34" s="984">
        <f t="shared" si="70"/>
        <v>1</v>
      </c>
      <c r="J34" s="984">
        <f t="shared" si="70"/>
        <v>1</v>
      </c>
      <c r="K34" s="984">
        <f t="shared" si="70"/>
        <v>1</v>
      </c>
      <c r="L34" s="984">
        <f t="shared" si="70"/>
        <v>1</v>
      </c>
      <c r="M34" s="985">
        <f t="shared" si="70"/>
        <v>1</v>
      </c>
      <c r="N34" s="289">
        <f t="shared" si="28"/>
        <v>7268.2513503351938</v>
      </c>
      <c r="O34" s="290">
        <f t="shared" si="29"/>
        <v>46733.985229121143</v>
      </c>
      <c r="P34" s="290">
        <f t="shared" si="30"/>
        <v>46733.985229121143</v>
      </c>
      <c r="Q34" s="290">
        <f t="shared" si="31"/>
        <v>148473.15736143693</v>
      </c>
      <c r="R34" s="290">
        <f t="shared" si="32"/>
        <v>209094.90927231612</v>
      </c>
      <c r="S34" s="292">
        <f t="shared" si="33"/>
        <v>46733.985229121143</v>
      </c>
      <c r="T34" s="289">
        <f t="shared" si="34"/>
        <v>-39465.733878785948</v>
      </c>
      <c r="U34" s="290">
        <f t="shared" si="35"/>
        <v>-39465.733878785948</v>
      </c>
      <c r="V34" s="290">
        <f t="shared" si="36"/>
        <v>-141204.90601110173</v>
      </c>
      <c r="W34" s="290">
        <f t="shared" si="37"/>
        <v>-201826.65792198092</v>
      </c>
      <c r="X34" s="292">
        <f t="shared" si="38"/>
        <v>-39465.733878785948</v>
      </c>
      <c r="Y34" s="293">
        <f ca="1">IF(AND(Y$22=TRUE,INDEX(CDRANGE_CLS2,MATCH($A34,$A$24:$A$67,0),MATCH(Y$20,$B$20:$G$20,0))&lt;$D$6/OPDAYS_Cls2),86,payback(C34,T34,disc_rate/12,85))</f>
        <v>86</v>
      </c>
      <c r="Z34" s="294">
        <f ca="1">IF(AND(Z$22=TRUE,INDEX(CDRANGE_CLS2,MATCH($A34,$A$24:$A$67,0),MATCH(Z$20,$B$20:$G$20,0))&lt;$D$6/OPDAYS_Cls2),86,payback(D34,U34,disc_rate/12,85))</f>
        <v>86</v>
      </c>
      <c r="AA34" s="294">
        <f>IF(AND(AA$22=TRUE,INDEX(CDRANGE_CLS2,MATCH($A34,$A$24:$A$67,0),MATCH(AA$20,$B$20:$G$20,0))&lt;$D$6/OPDAYS_Cls2),86,payback(E34,V34,disc_rate/12,85))</f>
        <v>86</v>
      </c>
      <c r="AB34" s="294">
        <f ca="1">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si="52"/>
        <v>0</v>
      </c>
      <c r="AV34" s="283">
        <f t="shared" ca="1" si="53"/>
        <v>0</v>
      </c>
      <c r="AW34" s="284">
        <f t="shared" ca="1" si="54"/>
        <v>0</v>
      </c>
      <c r="AX34" s="296">
        <f t="shared" ca="1" si="55"/>
        <v>0</v>
      </c>
      <c r="AY34" s="297">
        <f t="shared" ca="1" si="56"/>
        <v>0</v>
      </c>
      <c r="AZ34" s="297">
        <f t="shared" si="57"/>
        <v>0</v>
      </c>
      <c r="BA34" s="283">
        <f t="shared" ca="1"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20">
        <f t="shared" si="69"/>
        <v>138005</v>
      </c>
      <c r="C35" s="821">
        <f t="shared" si="69"/>
        <v>1000000</v>
      </c>
      <c r="D35" s="821">
        <f t="shared" si="69"/>
        <v>1000000</v>
      </c>
      <c r="E35" s="821">
        <f t="shared" si="69"/>
        <v>1000000</v>
      </c>
      <c r="F35" s="821">
        <f t="shared" si="69"/>
        <v>1000000</v>
      </c>
      <c r="G35" s="822">
        <f t="shared" si="69"/>
        <v>1000000</v>
      </c>
      <c r="H35" s="983">
        <f t="shared" si="70"/>
        <v>1</v>
      </c>
      <c r="I35" s="984">
        <f t="shared" si="70"/>
        <v>1</v>
      </c>
      <c r="J35" s="984">
        <f t="shared" si="70"/>
        <v>1</v>
      </c>
      <c r="K35" s="984">
        <f t="shared" si="70"/>
        <v>1</v>
      </c>
      <c r="L35" s="984">
        <f t="shared" si="70"/>
        <v>1</v>
      </c>
      <c r="M35" s="985">
        <f t="shared" si="70"/>
        <v>1</v>
      </c>
      <c r="N35" s="289">
        <f t="shared" si="28"/>
        <v>8980.6984948526861</v>
      </c>
      <c r="O35" s="290">
        <f t="shared" si="29"/>
        <v>57411.609593215391</v>
      </c>
      <c r="P35" s="290">
        <f t="shared" si="30"/>
        <v>57411.609593215391</v>
      </c>
      <c r="Q35" s="290">
        <f t="shared" si="31"/>
        <v>169829.87888097219</v>
      </c>
      <c r="R35" s="290">
        <f t="shared" si="32"/>
        <v>199590.59521448356</v>
      </c>
      <c r="S35" s="292">
        <f t="shared" si="33"/>
        <v>57411.609593215391</v>
      </c>
      <c r="T35" s="289">
        <f t="shared" si="34"/>
        <v>-48430.911098362703</v>
      </c>
      <c r="U35" s="290">
        <f t="shared" si="35"/>
        <v>-48430.911098362703</v>
      </c>
      <c r="V35" s="290">
        <f t="shared" si="36"/>
        <v>-160849.18038611949</v>
      </c>
      <c r="W35" s="290">
        <f t="shared" si="37"/>
        <v>-190609.89671963087</v>
      </c>
      <c r="X35" s="292">
        <f t="shared" si="38"/>
        <v>-48430.911098362703</v>
      </c>
      <c r="Y35" s="293">
        <f ca="1">IF(AND(Y$22=TRUE,INDEX(CDRANGE_CLS2,MATCH($A35,$A$24:$A$67,0),MATCH(Y$20,$B$20:$G$20,0))&lt;$D$6/OPDAYS_Cls2),86,payback(C35,T35,disc_rate/12,85))</f>
        <v>86</v>
      </c>
      <c r="Z35" s="294">
        <f ca="1">IF(AND(Z$22=TRUE,INDEX(CDRANGE_CLS2,MATCH($A35,$A$24:$A$67,0),MATCH(Z$20,$B$20:$G$20,0))&lt;$D$6/OPDAYS_Cls2),86,payback(D35,U35,disc_rate/12,85))</f>
        <v>86</v>
      </c>
      <c r="AA35" s="294">
        <f>IF(AND(AA$22=TRUE,INDEX(CDRANGE_CLS2,MATCH($A35,$A$24:$A$67,0),MATCH(AA$20,$B$20:$G$20,0))&lt;$D$6/OPDAYS_Cls2),86,payback(E35,V35,disc_rate/12,85))</f>
        <v>86</v>
      </c>
      <c r="AB35" s="294">
        <f ca="1">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si="52"/>
        <v>0</v>
      </c>
      <c r="AV35" s="283">
        <f t="shared" ca="1" si="53"/>
        <v>0</v>
      </c>
      <c r="AW35" s="284">
        <f t="shared" ca="1" si="54"/>
        <v>0</v>
      </c>
      <c r="AX35" s="296">
        <f t="shared" ca="1" si="55"/>
        <v>0</v>
      </c>
      <c r="AY35" s="297">
        <f t="shared" ca="1" si="56"/>
        <v>0</v>
      </c>
      <c r="AZ35" s="297">
        <f t="shared" si="57"/>
        <v>0</v>
      </c>
      <c r="BA35" s="283">
        <f t="shared" ca="1"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20">
        <f t="shared" si="69"/>
        <v>138005</v>
      </c>
      <c r="C36" s="821">
        <f t="shared" si="69"/>
        <v>1000000</v>
      </c>
      <c r="D36" s="821">
        <f t="shared" si="69"/>
        <v>1000000</v>
      </c>
      <c r="E36" s="821">
        <f t="shared" si="69"/>
        <v>1000000</v>
      </c>
      <c r="F36" s="821">
        <f t="shared" si="69"/>
        <v>1000000</v>
      </c>
      <c r="G36" s="822">
        <f t="shared" si="69"/>
        <v>1000000</v>
      </c>
      <c r="H36" s="983">
        <f t="shared" si="70"/>
        <v>1</v>
      </c>
      <c r="I36" s="984">
        <f t="shared" si="70"/>
        <v>1</v>
      </c>
      <c r="J36" s="984">
        <f t="shared" si="70"/>
        <v>1</v>
      </c>
      <c r="K36" s="984">
        <f t="shared" si="70"/>
        <v>1</v>
      </c>
      <c r="L36" s="984">
        <f t="shared" si="70"/>
        <v>1</v>
      </c>
      <c r="M36" s="985">
        <f t="shared" si="70"/>
        <v>1</v>
      </c>
      <c r="N36" s="289">
        <f t="shared" si="28"/>
        <v>8767.3873497078366</v>
      </c>
      <c r="O36" s="290">
        <f t="shared" si="29"/>
        <v>56403.689171752871</v>
      </c>
      <c r="P36" s="290">
        <f t="shared" si="30"/>
        <v>56403.689171752871</v>
      </c>
      <c r="Q36" s="290">
        <f t="shared" si="31"/>
        <v>169651.95466984273</v>
      </c>
      <c r="R36" s="290">
        <f t="shared" si="32"/>
        <v>190086.28115665101</v>
      </c>
      <c r="S36" s="292">
        <f t="shared" si="33"/>
        <v>56403.689171752871</v>
      </c>
      <c r="T36" s="289">
        <f t="shared" si="34"/>
        <v>-47636.301822045032</v>
      </c>
      <c r="U36" s="290">
        <f t="shared" si="35"/>
        <v>-47636.301822045032</v>
      </c>
      <c r="V36" s="290">
        <f t="shared" si="36"/>
        <v>-160884.5673201349</v>
      </c>
      <c r="W36" s="290">
        <f t="shared" si="37"/>
        <v>-181318.89380694318</v>
      </c>
      <c r="X36" s="292">
        <f t="shared" si="38"/>
        <v>-47636.301822045032</v>
      </c>
      <c r="Y36" s="293">
        <f ca="1">IF(AND(Y$22=TRUE,INDEX(CDRANGE_CLS2,MATCH($A36,$A$24:$A$67,0),MATCH(Y$20,$B$20:$G$20,0))&lt;$D$6/OPDAYS_Cls2),86,payback(C36,T36,disc_rate/12,85))</f>
        <v>86</v>
      </c>
      <c r="Z36" s="294">
        <f ca="1">IF(AND(Z$22=TRUE,INDEX(CDRANGE_CLS2,MATCH($A36,$A$24:$A$67,0),MATCH(Z$20,$B$20:$G$20,0))&lt;$D$6/OPDAYS_Cls2),86,payback(D36,U36,disc_rate/12,85))</f>
        <v>86</v>
      </c>
      <c r="AA36" s="294">
        <f>IF(AND(AA$22=TRUE,INDEX(CDRANGE_CLS2,MATCH($A36,$A$24:$A$67,0),MATCH(AA$20,$B$20:$G$20,0))&lt;$D$6/OPDAYS_Cls2),86,payback(E36,V36,disc_rate/12,85))</f>
        <v>86</v>
      </c>
      <c r="AB36" s="294">
        <f ca="1">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si="52"/>
        <v>0</v>
      </c>
      <c r="AV36" s="283">
        <f t="shared" ca="1" si="53"/>
        <v>0</v>
      </c>
      <c r="AW36" s="284">
        <f t="shared" ca="1" si="54"/>
        <v>0</v>
      </c>
      <c r="AX36" s="296">
        <f t="shared" ca="1" si="55"/>
        <v>0</v>
      </c>
      <c r="AY36" s="297">
        <f t="shared" ca="1" si="56"/>
        <v>0</v>
      </c>
      <c r="AZ36" s="297">
        <f t="shared" si="57"/>
        <v>0</v>
      </c>
      <c r="BA36" s="283">
        <f t="shared" ca="1"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3.5" thickBot="1" x14ac:dyDescent="0.25">
      <c r="A37" s="302">
        <v>2020</v>
      </c>
      <c r="B37" s="814">
        <f t="shared" si="69"/>
        <v>138005</v>
      </c>
      <c r="C37" s="815">
        <f t="shared" si="69"/>
        <v>1000000</v>
      </c>
      <c r="D37" s="815">
        <f t="shared" si="69"/>
        <v>1000000</v>
      </c>
      <c r="E37" s="815">
        <f t="shared" si="69"/>
        <v>1000000</v>
      </c>
      <c r="F37" s="815">
        <f t="shared" si="69"/>
        <v>1000000</v>
      </c>
      <c r="G37" s="816">
        <f t="shared" si="69"/>
        <v>1000000</v>
      </c>
      <c r="H37" s="977">
        <f t="shared" si="70"/>
        <v>1</v>
      </c>
      <c r="I37" s="978">
        <f t="shared" si="70"/>
        <v>1</v>
      </c>
      <c r="J37" s="978">
        <f t="shared" si="70"/>
        <v>1</v>
      </c>
      <c r="K37" s="978">
        <f t="shared" si="70"/>
        <v>1</v>
      </c>
      <c r="L37" s="978">
        <f t="shared" si="70"/>
        <v>1</v>
      </c>
      <c r="M37" s="979">
        <f t="shared" si="70"/>
        <v>1</v>
      </c>
      <c r="N37" s="303">
        <f t="shared" si="28"/>
        <v>8394.0507115638466</v>
      </c>
      <c r="O37" s="304">
        <f t="shared" si="29"/>
        <v>54447.453948959454</v>
      </c>
      <c r="P37" s="304">
        <f t="shared" si="30"/>
        <v>54447.453948959454</v>
      </c>
      <c r="Q37" s="304">
        <f t="shared" si="31"/>
        <v>173020.17314701612</v>
      </c>
      <c r="R37" s="304">
        <f t="shared" si="32"/>
        <v>180581.96709881842</v>
      </c>
      <c r="S37" s="306">
        <f t="shared" si="33"/>
        <v>54447.453948959454</v>
      </c>
      <c r="T37" s="303">
        <f t="shared" si="34"/>
        <v>-46053.403237395607</v>
      </c>
      <c r="U37" s="304">
        <f t="shared" si="35"/>
        <v>-46053.403237395607</v>
      </c>
      <c r="V37" s="304">
        <f t="shared" si="36"/>
        <v>-164626.12243545227</v>
      </c>
      <c r="W37" s="304">
        <f t="shared" si="37"/>
        <v>-172187.91638725458</v>
      </c>
      <c r="X37" s="306">
        <f t="shared" si="38"/>
        <v>-46053.403237395607</v>
      </c>
      <c r="Y37" s="307">
        <f ca="1">IF(AND(Y$22=TRUE,INDEX(CDRANGE_CLS2,MATCH($A37,$A$24:$A$67,0),MATCH(Y$20,$B$20:$G$20,0))&lt;$D$6/OPDAYS_Cls2),86,payback(C37,T37,disc_rate/12,85))</f>
        <v>86</v>
      </c>
      <c r="Z37" s="308">
        <f ca="1">IF(AND(Z$22=TRUE,INDEX(CDRANGE_CLS2,MATCH($A37,$A$24:$A$67,0),MATCH(Z$20,$B$20:$G$20,0))&lt;$D$6/OPDAYS_Cls2),86,payback(D37,U37,disc_rate/12,85))</f>
        <v>86</v>
      </c>
      <c r="AA37" s="308">
        <f>IF(AND(AA$22=TRUE,INDEX(CDRANGE_CLS2,MATCH($A37,$A$24:$A$67,0),MATCH(AA$20,$B$20:$G$20,0))&lt;$D$6/OPDAYS_Cls2),86,payback(E37,V37,disc_rate/12,85))</f>
        <v>86</v>
      </c>
      <c r="AB37" s="308">
        <f ca="1">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si="52"/>
        <v>0</v>
      </c>
      <c r="AV37" s="320">
        <f t="shared" ca="1" si="53"/>
        <v>0</v>
      </c>
      <c r="AW37" s="321">
        <f t="shared" ca="1" si="54"/>
        <v>0</v>
      </c>
      <c r="AX37" s="310">
        <f t="shared" ca="1" si="55"/>
        <v>0</v>
      </c>
      <c r="AY37" s="311">
        <f t="shared" ca="1" si="56"/>
        <v>0</v>
      </c>
      <c r="AZ37" s="311">
        <f t="shared" si="57"/>
        <v>0</v>
      </c>
      <c r="BA37" s="311">
        <f t="shared" ca="1"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7">
        <f t="shared" si="69"/>
        <v>138005</v>
      </c>
      <c r="C38" s="818">
        <f t="shared" si="69"/>
        <v>1000000</v>
      </c>
      <c r="D38" s="818">
        <f t="shared" si="69"/>
        <v>1000000</v>
      </c>
      <c r="E38" s="818">
        <f t="shared" si="69"/>
        <v>1000000</v>
      </c>
      <c r="F38" s="818">
        <f t="shared" si="69"/>
        <v>1000000</v>
      </c>
      <c r="G38" s="819">
        <f t="shared" si="69"/>
        <v>1000000</v>
      </c>
      <c r="H38" s="980">
        <f t="shared" si="70"/>
        <v>1</v>
      </c>
      <c r="I38" s="981">
        <f t="shared" si="70"/>
        <v>1</v>
      </c>
      <c r="J38" s="981">
        <f t="shared" si="70"/>
        <v>1</v>
      </c>
      <c r="K38" s="981">
        <f t="shared" si="70"/>
        <v>1</v>
      </c>
      <c r="L38" s="981">
        <f t="shared" si="70"/>
        <v>1</v>
      </c>
      <c r="M38" s="982">
        <f t="shared" si="70"/>
        <v>1</v>
      </c>
      <c r="N38" s="1342">
        <f t="shared" si="28"/>
        <v>8622.1224953600959</v>
      </c>
      <c r="O38" s="1343">
        <f t="shared" si="29"/>
        <v>7709.7599745084644</v>
      </c>
      <c r="P38" s="1343">
        <f t="shared" si="30"/>
        <v>7282.6278188195065</v>
      </c>
      <c r="Q38" s="1343">
        <f t="shared" si="31"/>
        <v>11468.360940824925</v>
      </c>
      <c r="R38" s="1343">
        <f t="shared" si="32"/>
        <v>17843.143501315073</v>
      </c>
      <c r="S38" s="1344">
        <f t="shared" si="33"/>
        <v>54733.939275146549</v>
      </c>
      <c r="T38" s="1342">
        <f t="shared" si="34"/>
        <v>912.36252085163142</v>
      </c>
      <c r="U38" s="1343">
        <f t="shared" si="35"/>
        <v>1339.4946765405894</v>
      </c>
      <c r="V38" s="1343">
        <f t="shared" si="36"/>
        <v>-2846.2384454648291</v>
      </c>
      <c r="W38" s="1343">
        <f t="shared" si="37"/>
        <v>-9221.0210059549772</v>
      </c>
      <c r="X38" s="278">
        <f t="shared" si="38"/>
        <v>-46111.816779786452</v>
      </c>
      <c r="Y38" s="279">
        <f ca="1">IF(AND(Y$22=TRUE,INDEX(CDRANGE_CLS2,MATCH($A38,$A$24:$A$67,0),MATCH(Y$20,$B$20:$G$20,0))&lt;$D$6/OPDAYS_Cls2),86,payback(C38,T38,disc_rate/12,85))</f>
        <v>86</v>
      </c>
      <c r="Z38" s="280">
        <f ca="1">IF(AND(Z$22=TRUE,INDEX(CDRANGE_CLS2,MATCH($A38,$A$24:$A$67,0),MATCH(Z$20,$B$20:$G$20,0))&lt;$D$6/OPDAYS_Cls2),86,payback(D38,U38,disc_rate/12,85))</f>
        <v>86</v>
      </c>
      <c r="AA38" s="280">
        <f>IF(AND(AA$22=TRUE,INDEX(CDRANGE_CLS2,MATCH($A38,$A$24:$A$67,0),MATCH(AA$20,$B$20:$G$20,0))&lt;$D$6/OPDAYS_Cls2),86,payback(E38,V38,disc_rate/12,85))</f>
        <v>86</v>
      </c>
      <c r="AB38" s="280">
        <f ca="1">IF(AND(AB$22=TRUE,INDEX(CDRANGE_CLS2,MATCH($A38,$A$24:$A$67,0),MATCH(AB$20,$B$20:$G$20,0))&lt;$D$6/OPDAYS_Cls2),86,payback(F38,W38,disc_rate/12,85))</f>
        <v>86</v>
      </c>
      <c r="AC38" s="281">
        <f ca="1">IF(AND(AC$22=TRUE,INDEX(CDRANGE_CLS2,MATCH($A38,$A$24:$A$67,0),MATCH(AC$20,$B$20:$G$20,0))&lt;$D$6/OPDAYS_Cls2),86,payback(G38,X38,disc_rate/12,85))</f>
        <v>86</v>
      </c>
      <c r="AD38" s="282">
        <f t="shared" si="39"/>
        <v>0</v>
      </c>
      <c r="AE38" s="283">
        <f t="shared" si="40"/>
        <v>0</v>
      </c>
      <c r="AF38" s="283">
        <f t="shared" si="41"/>
        <v>0</v>
      </c>
      <c r="AG38" s="283">
        <f t="shared" si="42"/>
        <v>0</v>
      </c>
      <c r="AH38" s="284">
        <f t="shared" si="43"/>
        <v>0</v>
      </c>
      <c r="AI38" s="285">
        <f t="shared" si="44"/>
        <v>0</v>
      </c>
      <c r="AJ38" s="286">
        <f t="shared" si="45"/>
        <v>0</v>
      </c>
      <c r="AK38" s="286">
        <f t="shared" si="46"/>
        <v>0</v>
      </c>
      <c r="AL38" s="286">
        <f t="shared" si="47"/>
        <v>0</v>
      </c>
      <c r="AM38" s="287">
        <f t="shared" si="48"/>
        <v>0</v>
      </c>
      <c r="AN38" s="643">
        <f t="shared" si="60"/>
        <v>0</v>
      </c>
      <c r="AO38" s="641">
        <f t="shared" si="49"/>
        <v>0</v>
      </c>
      <c r="AP38" s="641">
        <f t="shared" si="49"/>
        <v>0</v>
      </c>
      <c r="AQ38" s="641">
        <f t="shared" si="49"/>
        <v>0</v>
      </c>
      <c r="AR38" s="642">
        <f t="shared" si="49"/>
        <v>0</v>
      </c>
      <c r="AS38" s="282">
        <f t="shared" ca="1" si="50"/>
        <v>0</v>
      </c>
      <c r="AT38" s="283">
        <f t="shared" ca="1" si="51"/>
        <v>0</v>
      </c>
      <c r="AU38" s="283">
        <f t="shared" si="52"/>
        <v>0</v>
      </c>
      <c r="AV38" s="283">
        <f t="shared" ca="1" si="53"/>
        <v>0</v>
      </c>
      <c r="AW38" s="284">
        <f t="shared" ca="1" si="54"/>
        <v>0</v>
      </c>
      <c r="AX38" s="282">
        <f t="shared" ca="1" si="55"/>
        <v>0</v>
      </c>
      <c r="AY38" s="283">
        <f t="shared" ca="1" si="56"/>
        <v>0</v>
      </c>
      <c r="AZ38" s="283">
        <f t="shared" si="57"/>
        <v>0</v>
      </c>
      <c r="BA38" s="283">
        <f t="shared" ca="1" si="61"/>
        <v>0</v>
      </c>
      <c r="BB38" s="284">
        <f t="shared" ca="1" si="62"/>
        <v>0</v>
      </c>
      <c r="BC38" s="282">
        <f t="shared" ca="1" si="63"/>
        <v>1</v>
      </c>
      <c r="BD38" s="283">
        <f t="shared" ca="1" si="64"/>
        <v>0</v>
      </c>
      <c r="BE38" s="283">
        <f t="shared" ca="1" si="65"/>
        <v>0</v>
      </c>
      <c r="BF38" s="283">
        <f t="shared" ca="1" si="66"/>
        <v>0</v>
      </c>
      <c r="BG38" s="283">
        <f t="shared" ca="1" si="67"/>
        <v>0</v>
      </c>
      <c r="BH38" s="284">
        <f t="shared" ca="1" si="68"/>
        <v>0</v>
      </c>
    </row>
    <row r="39" spans="1:60" x14ac:dyDescent="0.2">
      <c r="A39" s="317">
        <v>2022</v>
      </c>
      <c r="B39" s="820">
        <f t="shared" si="69"/>
        <v>138005</v>
      </c>
      <c r="C39" s="821">
        <f t="shared" si="69"/>
        <v>1000000</v>
      </c>
      <c r="D39" s="821">
        <f t="shared" si="69"/>
        <v>1000000</v>
      </c>
      <c r="E39" s="821">
        <f t="shared" si="69"/>
        <v>1000000</v>
      </c>
      <c r="F39" s="821">
        <f t="shared" si="69"/>
        <v>1000000</v>
      </c>
      <c r="G39" s="822">
        <f t="shared" si="69"/>
        <v>1000000</v>
      </c>
      <c r="H39" s="983">
        <f t="shared" si="70"/>
        <v>1</v>
      </c>
      <c r="I39" s="984">
        <f t="shared" si="70"/>
        <v>1</v>
      </c>
      <c r="J39" s="984">
        <f t="shared" si="70"/>
        <v>1</v>
      </c>
      <c r="K39" s="984">
        <f t="shared" si="70"/>
        <v>1</v>
      </c>
      <c r="L39" s="984">
        <f t="shared" si="70"/>
        <v>1</v>
      </c>
      <c r="M39" s="985">
        <f t="shared" si="70"/>
        <v>1</v>
      </c>
      <c r="N39" s="1345">
        <f t="shared" si="28"/>
        <v>8646.8639369210032</v>
      </c>
      <c r="O39" s="258">
        <f t="shared" si="29"/>
        <v>7706.3968615465392</v>
      </c>
      <c r="P39" s="258">
        <f t="shared" si="30"/>
        <v>7276.7918057956531</v>
      </c>
      <c r="Q39" s="258">
        <f t="shared" si="31"/>
        <v>11493.396303082965</v>
      </c>
      <c r="R39" s="258">
        <f t="shared" si="32"/>
        <v>16653.688748952696</v>
      </c>
      <c r="S39" s="1346">
        <f t="shared" si="33"/>
        <v>55591.553462109005</v>
      </c>
      <c r="T39" s="1345">
        <f t="shared" si="34"/>
        <v>940.467075374464</v>
      </c>
      <c r="U39" s="258">
        <f t="shared" si="35"/>
        <v>1370.0721311253501</v>
      </c>
      <c r="V39" s="258">
        <f t="shared" si="36"/>
        <v>-2846.5323661619623</v>
      </c>
      <c r="W39" s="258">
        <f t="shared" si="37"/>
        <v>-8006.824812031693</v>
      </c>
      <c r="X39" s="292">
        <f t="shared" si="38"/>
        <v>-46944.689525188005</v>
      </c>
      <c r="Y39" s="293">
        <f ca="1">IF(AND(Y$22=TRUE,INDEX(CDRANGE_CLS2,MATCH($A39,$A$24:$A$67,0),MATCH(Y$20,$B$20:$G$20,0))&lt;$D$6/OPDAYS_Cls2),86,payback(C39,T39,disc_rate/12,85))</f>
        <v>86</v>
      </c>
      <c r="Z39" s="294">
        <f ca="1">IF(AND(Z$22=TRUE,INDEX(CDRANGE_CLS2,MATCH($A39,$A$24:$A$67,0),MATCH(Z$20,$B$20:$G$20,0))&lt;$D$6/OPDAYS_Cls2),86,payback(D39,U39,disc_rate/12,85))</f>
        <v>86</v>
      </c>
      <c r="AA39" s="294">
        <f>IF(AND(AA$22=TRUE,INDEX(CDRANGE_CLS2,MATCH($A39,$A$24:$A$67,0),MATCH(AA$20,$B$20:$G$20,0))&lt;$D$6/OPDAYS_Cls2),86,payback(E39,V39,disc_rate/12,85))</f>
        <v>86</v>
      </c>
      <c r="AB39" s="294">
        <f ca="1">IF(AND(AB$22=TRUE,INDEX(CDRANGE_CLS2,MATCH($A39,$A$24:$A$67,0),MATCH(AB$20,$B$20:$G$20,0))&lt;$D$6/OPDAYS_Cls2),86,payback(F39,W39,disc_rate/12,85))</f>
        <v>86</v>
      </c>
      <c r="AC39" s="295">
        <f ca="1">IF(AND(AC$22=TRUE,INDEX(CDRANGE_CLS2,MATCH($A39,$A$24:$A$67,0),MATCH(AC$20,$B$20:$G$20,0))&lt;$D$6/OPDAYS_Cls2),86,payback(G39,X39,disc_rate/12,85))</f>
        <v>86</v>
      </c>
      <c r="AD39" s="296">
        <f t="shared" si="39"/>
        <v>0</v>
      </c>
      <c r="AE39" s="297">
        <f t="shared" si="40"/>
        <v>0</v>
      </c>
      <c r="AF39" s="297">
        <f t="shared" si="41"/>
        <v>0</v>
      </c>
      <c r="AG39" s="297">
        <f t="shared" si="42"/>
        <v>0</v>
      </c>
      <c r="AH39" s="298">
        <f t="shared" si="43"/>
        <v>0</v>
      </c>
      <c r="AI39" s="299">
        <f t="shared" si="44"/>
        <v>0</v>
      </c>
      <c r="AJ39" s="300">
        <f t="shared" si="45"/>
        <v>0</v>
      </c>
      <c r="AK39" s="300">
        <f t="shared" si="46"/>
        <v>0</v>
      </c>
      <c r="AL39" s="300">
        <f t="shared" si="47"/>
        <v>0</v>
      </c>
      <c r="AM39" s="301">
        <f t="shared" si="48"/>
        <v>0</v>
      </c>
      <c r="AN39" s="299">
        <f t="shared" si="60"/>
        <v>0</v>
      </c>
      <c r="AO39" s="300">
        <f t="shared" si="49"/>
        <v>0</v>
      </c>
      <c r="AP39" s="300">
        <f t="shared" si="49"/>
        <v>0</v>
      </c>
      <c r="AQ39" s="300">
        <f t="shared" si="49"/>
        <v>0</v>
      </c>
      <c r="AR39" s="598">
        <f t="shared" si="49"/>
        <v>0</v>
      </c>
      <c r="AS39" s="282">
        <f t="shared" ca="1" si="50"/>
        <v>0</v>
      </c>
      <c r="AT39" s="283">
        <f t="shared" ca="1" si="51"/>
        <v>0</v>
      </c>
      <c r="AU39" s="283">
        <f t="shared" si="52"/>
        <v>0</v>
      </c>
      <c r="AV39" s="283">
        <f t="shared" ca="1" si="53"/>
        <v>0</v>
      </c>
      <c r="AW39" s="284">
        <f t="shared" ca="1" si="54"/>
        <v>0</v>
      </c>
      <c r="AX39" s="296">
        <f t="shared" ca="1" si="55"/>
        <v>0</v>
      </c>
      <c r="AY39" s="297">
        <f t="shared" ca="1" si="56"/>
        <v>0</v>
      </c>
      <c r="AZ39" s="297">
        <f t="shared" si="57"/>
        <v>0</v>
      </c>
      <c r="BA39" s="283">
        <f t="shared" ca="1" si="61"/>
        <v>0</v>
      </c>
      <c r="BB39" s="284">
        <f t="shared" ca="1" si="62"/>
        <v>0</v>
      </c>
      <c r="BC39" s="282">
        <f t="shared" ca="1" si="63"/>
        <v>1</v>
      </c>
      <c r="BD39" s="283">
        <f t="shared" ca="1" si="64"/>
        <v>0</v>
      </c>
      <c r="BE39" s="283">
        <f t="shared" ca="1" si="65"/>
        <v>0</v>
      </c>
      <c r="BF39" s="283">
        <f t="shared" ca="1" si="66"/>
        <v>0</v>
      </c>
      <c r="BG39" s="283">
        <f t="shared" ca="1" si="67"/>
        <v>0</v>
      </c>
      <c r="BH39" s="284">
        <f t="shared" ca="1" si="68"/>
        <v>0</v>
      </c>
    </row>
    <row r="40" spans="1:60" x14ac:dyDescent="0.2">
      <c r="A40" s="317">
        <v>2023</v>
      </c>
      <c r="B40" s="820">
        <f t="shared" si="69"/>
        <v>138005</v>
      </c>
      <c r="C40" s="821">
        <f t="shared" si="69"/>
        <v>1000000</v>
      </c>
      <c r="D40" s="821">
        <f t="shared" si="69"/>
        <v>1000000</v>
      </c>
      <c r="E40" s="821">
        <f t="shared" si="69"/>
        <v>1000000</v>
      </c>
      <c r="F40" s="821">
        <f t="shared" si="69"/>
        <v>1000000</v>
      </c>
      <c r="G40" s="822">
        <f t="shared" si="69"/>
        <v>1000000</v>
      </c>
      <c r="H40" s="983">
        <f t="shared" si="70"/>
        <v>1</v>
      </c>
      <c r="I40" s="984">
        <f t="shared" si="70"/>
        <v>1</v>
      </c>
      <c r="J40" s="984">
        <f t="shared" si="70"/>
        <v>1</v>
      </c>
      <c r="K40" s="984">
        <f t="shared" si="70"/>
        <v>1</v>
      </c>
      <c r="L40" s="984">
        <f t="shared" si="70"/>
        <v>1</v>
      </c>
      <c r="M40" s="985">
        <f t="shared" si="70"/>
        <v>1</v>
      </c>
      <c r="N40" s="1345">
        <f t="shared" si="28"/>
        <v>8568.099152241417</v>
      </c>
      <c r="O40" s="258">
        <f t="shared" si="29"/>
        <v>7613.7234974280946</v>
      </c>
      <c r="P40" s="258">
        <f t="shared" si="30"/>
        <v>7186.4061403450269</v>
      </c>
      <c r="Q40" s="258">
        <f t="shared" si="31"/>
        <v>11552.904938703119</v>
      </c>
      <c r="R40" s="258">
        <f t="shared" si="32"/>
        <v>15467.759676650274</v>
      </c>
      <c r="S40" s="1346">
        <f t="shared" si="33"/>
        <v>55910.787985728006</v>
      </c>
      <c r="T40" s="1345">
        <f t="shared" si="34"/>
        <v>954.3756548133224</v>
      </c>
      <c r="U40" s="258">
        <f t="shared" si="35"/>
        <v>1381.6930118963901</v>
      </c>
      <c r="V40" s="258">
        <f t="shared" si="36"/>
        <v>-2984.8057864617022</v>
      </c>
      <c r="W40" s="258">
        <f t="shared" si="37"/>
        <v>-6899.6605244088569</v>
      </c>
      <c r="X40" s="292">
        <f t="shared" si="38"/>
        <v>-47342.688833486587</v>
      </c>
      <c r="Y40" s="293">
        <f ca="1">IF(AND(Y$22=TRUE,INDEX(CDRANGE_CLS2,MATCH($A40,$A$24:$A$67,0),MATCH(Y$20,$B$20:$G$20,0))&lt;$D$6/OPDAYS_Cls2),86,payback(C40,T40,disc_rate/12,85))</f>
        <v>86</v>
      </c>
      <c r="Z40" s="294">
        <f ca="1">IF(AND(Z$22=TRUE,INDEX(CDRANGE_CLS2,MATCH($A40,$A$24:$A$67,0),MATCH(Z$20,$B$20:$G$20,0))&lt;$D$6/OPDAYS_Cls2),86,payback(D40,U40,disc_rate/12,85))</f>
        <v>86</v>
      </c>
      <c r="AA40" s="294">
        <f>IF(AND(AA$22=TRUE,INDEX(CDRANGE_CLS2,MATCH($A40,$A$24:$A$67,0),MATCH(AA$20,$B$20:$G$20,0))&lt;$D$6/OPDAYS_Cls2),86,payback(E40,V40,disc_rate/12,85))</f>
        <v>86</v>
      </c>
      <c r="AB40" s="294">
        <f ca="1">IF(AND(AB$22=TRUE,INDEX(CDRANGE_CLS2,MATCH($A40,$A$24:$A$67,0),MATCH(AB$20,$B$20:$G$20,0))&lt;$D$6/OPDAYS_Cls2),86,payback(F40,W40,disc_rate/12,85))</f>
        <v>86</v>
      </c>
      <c r="AC40" s="295">
        <f ca="1">IF(AND(AC$22=TRUE,INDEX(CDRANGE_CLS2,MATCH($A40,$A$24:$A$67,0),MATCH(AC$20,$B$20:$G$20,0))&lt;$D$6/OPDAYS_Cls2),86,payback(G40,X40,disc_rate/12,85))</f>
        <v>86</v>
      </c>
      <c r="AD40" s="296">
        <f t="shared" si="39"/>
        <v>0</v>
      </c>
      <c r="AE40" s="297">
        <f t="shared" si="40"/>
        <v>0</v>
      </c>
      <c r="AF40" s="297">
        <f t="shared" si="41"/>
        <v>0</v>
      </c>
      <c r="AG40" s="297">
        <f t="shared" si="42"/>
        <v>0</v>
      </c>
      <c r="AH40" s="298">
        <f t="shared" si="43"/>
        <v>0</v>
      </c>
      <c r="AI40" s="299">
        <f t="shared" si="44"/>
        <v>0</v>
      </c>
      <c r="AJ40" s="300">
        <f t="shared" si="45"/>
        <v>0</v>
      </c>
      <c r="AK40" s="300">
        <f t="shared" si="46"/>
        <v>0</v>
      </c>
      <c r="AL40" s="300">
        <f t="shared" si="47"/>
        <v>0</v>
      </c>
      <c r="AM40" s="301">
        <f t="shared" si="48"/>
        <v>0</v>
      </c>
      <c r="AN40" s="299">
        <f t="shared" si="60"/>
        <v>0</v>
      </c>
      <c r="AO40" s="300">
        <f t="shared" si="60"/>
        <v>0</v>
      </c>
      <c r="AP40" s="300">
        <f t="shared" si="60"/>
        <v>0</v>
      </c>
      <c r="AQ40" s="300">
        <f t="shared" si="60"/>
        <v>0</v>
      </c>
      <c r="AR40" s="598">
        <f t="shared" si="60"/>
        <v>0</v>
      </c>
      <c r="AS40" s="282">
        <f t="shared" ca="1" si="50"/>
        <v>0</v>
      </c>
      <c r="AT40" s="283">
        <f t="shared" ca="1" si="51"/>
        <v>0</v>
      </c>
      <c r="AU40" s="283">
        <f t="shared" si="52"/>
        <v>0</v>
      </c>
      <c r="AV40" s="283">
        <f t="shared" ca="1" si="53"/>
        <v>0</v>
      </c>
      <c r="AW40" s="284">
        <f t="shared" ca="1" si="54"/>
        <v>0</v>
      </c>
      <c r="AX40" s="296">
        <f t="shared" ca="1" si="55"/>
        <v>0</v>
      </c>
      <c r="AY40" s="297">
        <f t="shared" ca="1" si="56"/>
        <v>0</v>
      </c>
      <c r="AZ40" s="297">
        <f t="shared" si="57"/>
        <v>0</v>
      </c>
      <c r="BA40" s="283">
        <f t="shared" ca="1" si="61"/>
        <v>0</v>
      </c>
      <c r="BB40" s="284">
        <f t="shared" ca="1" si="62"/>
        <v>0</v>
      </c>
      <c r="BC40" s="282">
        <f t="shared" ca="1" si="63"/>
        <v>1</v>
      </c>
      <c r="BD40" s="283">
        <f t="shared" ca="1" si="64"/>
        <v>0</v>
      </c>
      <c r="BE40" s="283">
        <f t="shared" ca="1" si="65"/>
        <v>0</v>
      </c>
      <c r="BF40" s="283">
        <f t="shared" ca="1" si="66"/>
        <v>0</v>
      </c>
      <c r="BG40" s="283">
        <f t="shared" ca="1" si="67"/>
        <v>0</v>
      </c>
      <c r="BH40" s="284">
        <f t="shared" ca="1" si="68"/>
        <v>0</v>
      </c>
    </row>
    <row r="41" spans="1:60" x14ac:dyDescent="0.2">
      <c r="A41" s="317">
        <v>2024</v>
      </c>
      <c r="B41" s="820">
        <f t="shared" si="69"/>
        <v>138005</v>
      </c>
      <c r="C41" s="821">
        <f t="shared" si="69"/>
        <v>1000000</v>
      </c>
      <c r="D41" s="821">
        <f t="shared" si="69"/>
        <v>1000000</v>
      </c>
      <c r="E41" s="821">
        <f t="shared" si="69"/>
        <v>1000000</v>
      </c>
      <c r="F41" s="821">
        <f t="shared" si="69"/>
        <v>1000000</v>
      </c>
      <c r="G41" s="822">
        <f t="shared" si="69"/>
        <v>1000000</v>
      </c>
      <c r="H41" s="983">
        <f t="shared" si="70"/>
        <v>1</v>
      </c>
      <c r="I41" s="984">
        <f t="shared" si="70"/>
        <v>1</v>
      </c>
      <c r="J41" s="984">
        <f t="shared" si="70"/>
        <v>1</v>
      </c>
      <c r="K41" s="984">
        <f t="shared" si="70"/>
        <v>1</v>
      </c>
      <c r="L41" s="984">
        <f t="shared" si="70"/>
        <v>1</v>
      </c>
      <c r="M41" s="985">
        <f t="shared" si="70"/>
        <v>1</v>
      </c>
      <c r="N41" s="1345">
        <f t="shared" si="28"/>
        <v>8548.8017240847294</v>
      </c>
      <c r="O41" s="258">
        <f t="shared" si="29"/>
        <v>7540.1061867512899</v>
      </c>
      <c r="P41" s="258">
        <f t="shared" si="30"/>
        <v>7112.6116178699431</v>
      </c>
      <c r="Q41" s="258">
        <f t="shared" si="31"/>
        <v>11526.833061374793</v>
      </c>
      <c r="R41" s="258">
        <f t="shared" si="32"/>
        <v>14204.991053839334</v>
      </c>
      <c r="S41" s="1346">
        <f t="shared" si="33"/>
        <v>56919.036236279331</v>
      </c>
      <c r="T41" s="1345">
        <f t="shared" si="34"/>
        <v>1008.6955373334395</v>
      </c>
      <c r="U41" s="258">
        <f t="shared" si="35"/>
        <v>1436.1901062147863</v>
      </c>
      <c r="V41" s="258">
        <f t="shared" si="36"/>
        <v>-2978.0313372900637</v>
      </c>
      <c r="W41" s="258">
        <f t="shared" si="37"/>
        <v>-5656.1893297546048</v>
      </c>
      <c r="X41" s="292">
        <f t="shared" si="38"/>
        <v>-48370.234512194598</v>
      </c>
      <c r="Y41" s="293">
        <f ca="1">IF(AND(Y$22=TRUE,INDEX(CDRANGE_CLS2,MATCH($A41,$A$24:$A$67,0),MATCH(Y$20,$B$20:$G$20,0))&lt;$D$6/OPDAYS_Cls2),86,payback(C41,T41,disc_rate/12,85))</f>
        <v>86</v>
      </c>
      <c r="Z41" s="294">
        <f ca="1">IF(AND(Z$22=TRUE,INDEX(CDRANGE_CLS2,MATCH($A41,$A$24:$A$67,0),MATCH(Z$20,$B$20:$G$20,0))&lt;$D$6/OPDAYS_Cls2),86,payback(D41,U41,disc_rate/12,85))</f>
        <v>86</v>
      </c>
      <c r="AA41" s="294">
        <f>IF(AND(AA$22=TRUE,INDEX(CDRANGE_CLS2,MATCH($A41,$A$24:$A$67,0),MATCH(AA$20,$B$20:$G$20,0))&lt;$D$6/OPDAYS_Cls2),86,payback(E41,V41,disc_rate/12,85))</f>
        <v>86</v>
      </c>
      <c r="AB41" s="294">
        <f ca="1">IF(AND(AB$22=TRUE,INDEX(CDRANGE_CLS2,MATCH($A41,$A$24:$A$67,0),MATCH(AB$20,$B$20:$G$20,0))&lt;$D$6/OPDAYS_Cls2),86,payback(F41,W41,disc_rate/12,85))</f>
        <v>86</v>
      </c>
      <c r="AC41" s="295">
        <f ca="1">IF(AND(AC$22=TRUE,INDEX(CDRANGE_CLS2,MATCH($A41,$A$24:$A$67,0),MATCH(AC$20,$B$20:$G$20,0))&lt;$D$6/OPDAYS_Cls2),86,payback(G41,X41,disc_rate/12,85))</f>
        <v>86</v>
      </c>
      <c r="AD41" s="296">
        <f t="shared" si="39"/>
        <v>0</v>
      </c>
      <c r="AE41" s="297">
        <f t="shared" si="40"/>
        <v>0</v>
      </c>
      <c r="AF41" s="297">
        <f t="shared" si="41"/>
        <v>0</v>
      </c>
      <c r="AG41" s="297">
        <f t="shared" si="42"/>
        <v>0</v>
      </c>
      <c r="AH41" s="298">
        <f t="shared" si="43"/>
        <v>0</v>
      </c>
      <c r="AI41" s="299">
        <f t="shared" si="44"/>
        <v>0</v>
      </c>
      <c r="AJ41" s="300">
        <f t="shared" si="45"/>
        <v>0</v>
      </c>
      <c r="AK41" s="300">
        <f t="shared" si="46"/>
        <v>0</v>
      </c>
      <c r="AL41" s="300">
        <f t="shared" si="47"/>
        <v>0</v>
      </c>
      <c r="AM41" s="301">
        <f t="shared" si="48"/>
        <v>0</v>
      </c>
      <c r="AN41" s="299">
        <f t="shared" si="60"/>
        <v>0</v>
      </c>
      <c r="AO41" s="300">
        <f t="shared" si="60"/>
        <v>0</v>
      </c>
      <c r="AP41" s="300">
        <f t="shared" si="60"/>
        <v>0</v>
      </c>
      <c r="AQ41" s="300">
        <f t="shared" si="60"/>
        <v>0</v>
      </c>
      <c r="AR41" s="598">
        <f t="shared" si="60"/>
        <v>0</v>
      </c>
      <c r="AS41" s="282">
        <f t="shared" ca="1" si="50"/>
        <v>0</v>
      </c>
      <c r="AT41" s="283">
        <f t="shared" ca="1" si="51"/>
        <v>0</v>
      </c>
      <c r="AU41" s="283">
        <f t="shared" si="52"/>
        <v>0</v>
      </c>
      <c r="AV41" s="283">
        <f t="shared" ca="1" si="53"/>
        <v>0</v>
      </c>
      <c r="AW41" s="284">
        <f t="shared" ca="1" si="54"/>
        <v>0</v>
      </c>
      <c r="AX41" s="296">
        <f t="shared" ca="1" si="55"/>
        <v>0</v>
      </c>
      <c r="AY41" s="297">
        <f t="shared" ca="1" si="56"/>
        <v>0</v>
      </c>
      <c r="AZ41" s="297">
        <f t="shared" si="57"/>
        <v>0</v>
      </c>
      <c r="BA41" s="283">
        <f t="shared" ca="1" si="61"/>
        <v>0</v>
      </c>
      <c r="BB41" s="284">
        <f t="shared" ca="1" si="62"/>
        <v>0</v>
      </c>
      <c r="BC41" s="282">
        <f t="shared" ca="1" si="63"/>
        <v>1</v>
      </c>
      <c r="BD41" s="283">
        <f t="shared" ca="1" si="64"/>
        <v>0</v>
      </c>
      <c r="BE41" s="283">
        <f t="shared" ca="1" si="65"/>
        <v>0</v>
      </c>
      <c r="BF41" s="283">
        <f t="shared" ca="1" si="66"/>
        <v>0</v>
      </c>
      <c r="BG41" s="283">
        <f t="shared" ca="1" si="67"/>
        <v>0</v>
      </c>
      <c r="BH41" s="284">
        <f t="shared" ca="1" si="68"/>
        <v>0</v>
      </c>
    </row>
    <row r="42" spans="1:60" ht="13.5" thickBot="1" x14ac:dyDescent="0.25">
      <c r="A42" s="302">
        <v>2025</v>
      </c>
      <c r="B42" s="823">
        <f t="shared" si="69"/>
        <v>138005</v>
      </c>
      <c r="C42" s="824">
        <f t="shared" si="69"/>
        <v>6997.06</v>
      </c>
      <c r="D42" s="824">
        <f t="shared" si="69"/>
        <v>15029.19</v>
      </c>
      <c r="E42" s="824">
        <f t="shared" si="69"/>
        <v>327492.99</v>
      </c>
      <c r="F42" s="824">
        <f t="shared" si="69"/>
        <v>99856.66</v>
      </c>
      <c r="G42" s="825">
        <f t="shared" si="69"/>
        <v>1000000</v>
      </c>
      <c r="H42" s="977">
        <f t="shared" si="70"/>
        <v>1</v>
      </c>
      <c r="I42" s="978">
        <f t="shared" si="70"/>
        <v>1</v>
      </c>
      <c r="J42" s="978">
        <f t="shared" si="70"/>
        <v>1</v>
      </c>
      <c r="K42" s="978">
        <f t="shared" si="70"/>
        <v>1</v>
      </c>
      <c r="L42" s="978">
        <f t="shared" si="70"/>
        <v>1</v>
      </c>
      <c r="M42" s="979">
        <f t="shared" si="70"/>
        <v>1</v>
      </c>
      <c r="N42" s="1347">
        <f t="shared" si="28"/>
        <v>8409.7077145635976</v>
      </c>
      <c r="O42" s="265">
        <f t="shared" si="29"/>
        <v>7360.2535231219135</v>
      </c>
      <c r="P42" s="265">
        <f t="shared" si="30"/>
        <v>6938.5049065378153</v>
      </c>
      <c r="Q42" s="265">
        <f t="shared" si="31"/>
        <v>11563.888162054109</v>
      </c>
      <c r="R42" s="265">
        <f t="shared" si="32"/>
        <v>12961.003179928755</v>
      </c>
      <c r="S42" s="1348">
        <f t="shared" si="33"/>
        <v>57258.364655222431</v>
      </c>
      <c r="T42" s="1347">
        <f t="shared" si="34"/>
        <v>1049.4541914416841</v>
      </c>
      <c r="U42" s="265">
        <f t="shared" si="35"/>
        <v>1471.2028080257824</v>
      </c>
      <c r="V42" s="265">
        <f t="shared" si="36"/>
        <v>-3154.1804474905111</v>
      </c>
      <c r="W42" s="265">
        <f t="shared" si="37"/>
        <v>-4551.2954653651577</v>
      </c>
      <c r="X42" s="306">
        <f t="shared" si="38"/>
        <v>-48848.656940658831</v>
      </c>
      <c r="Y42" s="307">
        <f ca="1">IF(AND(Y$22=TRUE,INDEX(CDRANGE_CLS2,MATCH($A42,$A$24:$A$67,0),MATCH(Y$20,$B$20:$G$20,0))&lt;$D$6/OPDAYS_Cls2),86,payback(C42,T42,disc_rate/12,85))</f>
        <v>7</v>
      </c>
      <c r="Z42" s="308">
        <f ca="1">IF(AND(Z$22=TRUE,INDEX(CDRANGE_CLS2,MATCH($A42,$A$24:$A$67,0),MATCH(Z$20,$B$20:$G$20,0))&lt;$D$6/OPDAYS_Cls2),86,payback(D42,U42,disc_rate/12,85))</f>
        <v>11</v>
      </c>
      <c r="AA42" s="308">
        <f>IF(AND(AA$22=TRUE,INDEX(CDRANGE_CLS2,MATCH($A42,$A$24:$A$67,0),MATCH(AA$20,$B$20:$G$20,0))&lt;$D$6/OPDAYS_Cls2),86,payback(E42,V42,disc_rate/12,85))</f>
        <v>86</v>
      </c>
      <c r="AB42" s="308">
        <f ca="1">IF(AND(AB$22=TRUE,INDEX(CDRANGE_CLS2,MATCH($A42,$A$24:$A$67,0),MATCH(AB$20,$B$20:$G$20,0))&lt;$D$6/OPDAYS_Cls2),86,payback(F42,W42,disc_rate/12,85))</f>
        <v>86</v>
      </c>
      <c r="AC42" s="309">
        <f ca="1">IF(AND(AC$22=TRUE,INDEX(CDRANGE_CLS2,MATCH($A42,$A$24:$A$67,0),MATCH(AC$20,$B$20:$G$20,0))&lt;$D$6/OPDAYS_Cls2),86,payback(G42,X42,disc_rate/12,85))</f>
        <v>86</v>
      </c>
      <c r="AD42" s="310">
        <f t="shared" si="39"/>
        <v>0</v>
      </c>
      <c r="AE42" s="311">
        <f t="shared" si="40"/>
        <v>0</v>
      </c>
      <c r="AF42" s="311">
        <f t="shared" si="41"/>
        <v>0</v>
      </c>
      <c r="AG42" s="311">
        <f t="shared" si="42"/>
        <v>0</v>
      </c>
      <c r="AH42" s="312">
        <f t="shared" si="43"/>
        <v>0</v>
      </c>
      <c r="AI42" s="313">
        <f t="shared" si="44"/>
        <v>0</v>
      </c>
      <c r="AJ42" s="314">
        <f t="shared" si="45"/>
        <v>0</v>
      </c>
      <c r="AK42" s="314">
        <f t="shared" si="46"/>
        <v>0</v>
      </c>
      <c r="AL42" s="314">
        <f t="shared" si="47"/>
        <v>0</v>
      </c>
      <c r="AM42" s="315">
        <f t="shared" si="48"/>
        <v>0</v>
      </c>
      <c r="AN42" s="313">
        <f t="shared" si="60"/>
        <v>0.99288476254943991</v>
      </c>
      <c r="AO42" s="314">
        <f t="shared" si="60"/>
        <v>0.96759254678999485</v>
      </c>
      <c r="AP42" s="314">
        <f t="shared" si="60"/>
        <v>1.6086414567073604E-7</v>
      </c>
      <c r="AQ42" s="314">
        <f t="shared" si="60"/>
        <v>0.23355760408717219</v>
      </c>
      <c r="AR42" s="599">
        <f t="shared" si="60"/>
        <v>0</v>
      </c>
      <c r="AS42" s="830">
        <f t="shared" ca="1" si="50"/>
        <v>0</v>
      </c>
      <c r="AT42" s="831">
        <f t="shared" ca="1" si="51"/>
        <v>0</v>
      </c>
      <c r="AU42" s="831">
        <f t="shared" si="52"/>
        <v>0</v>
      </c>
      <c r="AV42" s="831">
        <f t="shared" ca="1" si="53"/>
        <v>0</v>
      </c>
      <c r="AW42" s="832">
        <f t="shared" ca="1" si="54"/>
        <v>0</v>
      </c>
      <c r="AX42" s="310">
        <f t="shared" ca="1" si="55"/>
        <v>0</v>
      </c>
      <c r="AY42" s="311">
        <f t="shared" ca="1" si="56"/>
        <v>0</v>
      </c>
      <c r="AZ42" s="311">
        <f t="shared" si="57"/>
        <v>0</v>
      </c>
      <c r="BA42" s="311">
        <f t="shared" ca="1" si="61"/>
        <v>0</v>
      </c>
      <c r="BB42" s="312">
        <f t="shared" ca="1" si="62"/>
        <v>0</v>
      </c>
      <c r="BC42" s="310">
        <f t="shared" ca="1" si="63"/>
        <v>1</v>
      </c>
      <c r="BD42" s="311">
        <f t="shared" ca="1" si="64"/>
        <v>0</v>
      </c>
      <c r="BE42" s="311">
        <f t="shared" ca="1" si="65"/>
        <v>0</v>
      </c>
      <c r="BF42" s="311">
        <f t="shared" ca="1" si="66"/>
        <v>0</v>
      </c>
      <c r="BG42" s="311">
        <f t="shared" ca="1" si="67"/>
        <v>0</v>
      </c>
      <c r="BH42" s="312">
        <f t="shared" ca="1" si="68"/>
        <v>0</v>
      </c>
    </row>
    <row r="43" spans="1:60" x14ac:dyDescent="0.2">
      <c r="A43" s="316">
        <v>2026</v>
      </c>
      <c r="B43" s="826">
        <f t="shared" si="69"/>
        <v>138005</v>
      </c>
      <c r="C43" s="827">
        <f t="shared" si="69"/>
        <v>8819.5400000000009</v>
      </c>
      <c r="D43" s="827">
        <f t="shared" si="69"/>
        <v>16417.509999999998</v>
      </c>
      <c r="E43" s="827">
        <f t="shared" si="69"/>
        <v>295574.2</v>
      </c>
      <c r="F43" s="827">
        <f t="shared" si="69"/>
        <v>91524.86</v>
      </c>
      <c r="G43" s="828">
        <f t="shared" si="69"/>
        <v>1000000</v>
      </c>
      <c r="H43" s="980">
        <f t="shared" si="70"/>
        <v>1</v>
      </c>
      <c r="I43" s="981">
        <f t="shared" si="70"/>
        <v>1</v>
      </c>
      <c r="J43" s="981">
        <f t="shared" si="70"/>
        <v>1</v>
      </c>
      <c r="K43" s="981">
        <f t="shared" si="70"/>
        <v>1</v>
      </c>
      <c r="L43" s="981">
        <f t="shared" si="70"/>
        <v>1</v>
      </c>
      <c r="M43" s="982">
        <f t="shared" si="70"/>
        <v>1</v>
      </c>
      <c r="N43" s="275">
        <f t="shared" si="28"/>
        <v>8355.7151231351654</v>
      </c>
      <c r="O43" s="276">
        <f t="shared" si="29"/>
        <v>7328.3084190022746</v>
      </c>
      <c r="P43" s="276">
        <f t="shared" si="30"/>
        <v>6905.1635095793608</v>
      </c>
      <c r="Q43" s="276">
        <f t="shared" si="31"/>
        <v>11604.647921313544</v>
      </c>
      <c r="R43" s="276">
        <f t="shared" si="32"/>
        <v>12523.285122140584</v>
      </c>
      <c r="S43" s="278">
        <f t="shared" si="33"/>
        <v>58307.989442800208</v>
      </c>
      <c r="T43" s="275">
        <f t="shared" si="34"/>
        <v>1027.4067041328908</v>
      </c>
      <c r="U43" s="276">
        <f t="shared" si="35"/>
        <v>1450.5516135558046</v>
      </c>
      <c r="V43" s="276">
        <f t="shared" si="36"/>
        <v>-3248.932798178379</v>
      </c>
      <c r="W43" s="276">
        <f t="shared" si="37"/>
        <v>-4167.5699990054181</v>
      </c>
      <c r="X43" s="278">
        <f t="shared" si="38"/>
        <v>-49952.274319665041</v>
      </c>
      <c r="Y43" s="279">
        <f ca="1">IF(AND(Y$22=TRUE,INDEX(CDRANGE_CLS2,MATCH($A43,$A$24:$A$67,0),MATCH(Y$20,$B$20:$G$20,0))&lt;$D$6/OPDAYS_Cls2),86,payback(C43,T43,disc_rate/12,85))</f>
        <v>9</v>
      </c>
      <c r="Z43" s="280">
        <f ca="1">IF(AND(Z$22=TRUE,INDEX(CDRANGE_CLS2,MATCH($A43,$A$24:$A$67,0),MATCH(Z$20,$B$20:$G$20,0))&lt;$D$6/OPDAYS_Cls2),86,payback(D43,U43,disc_rate/12,85))</f>
        <v>12</v>
      </c>
      <c r="AA43" s="280">
        <f>IF(AND(AA$22=TRUE,INDEX(CDRANGE_CLS2,MATCH($A43,$A$24:$A$67,0),MATCH(AA$20,$B$20:$G$20,0))&lt;$D$6/OPDAYS_Cls2),86,payback(E43,V43,disc_rate/12,85))</f>
        <v>86</v>
      </c>
      <c r="AB43" s="280">
        <f ca="1">IF(AND(AB$22=TRUE,INDEX(CDRANGE_CLS2,MATCH($A43,$A$24:$A$67,0),MATCH(AB$20,$B$20:$G$20,0))&lt;$D$6/OPDAYS_Cls2),86,payback(F43,W43,disc_rate/12,85))</f>
        <v>86</v>
      </c>
      <c r="AC43" s="281">
        <f ca="1">IF(AND(AC$22=TRUE,INDEX(CDRANGE_CLS2,MATCH($A43,$A$24:$A$67,0),MATCH(AC$20,$B$20:$G$20,0))&lt;$D$6/OPDAYS_Cls2),86,payback(G43,X43,disc_rate/12,85))</f>
        <v>86</v>
      </c>
      <c r="AD43" s="282">
        <f t="shared" si="39"/>
        <v>0</v>
      </c>
      <c r="AE43" s="283">
        <f t="shared" si="40"/>
        <v>0</v>
      </c>
      <c r="AF43" s="283">
        <f t="shared" si="41"/>
        <v>0</v>
      </c>
      <c r="AG43" s="283">
        <f t="shared" si="42"/>
        <v>0</v>
      </c>
      <c r="AH43" s="284">
        <f t="shared" si="43"/>
        <v>0</v>
      </c>
      <c r="AI43" s="285">
        <f t="shared" si="44"/>
        <v>2.3712936588783391E-2</v>
      </c>
      <c r="AJ43" s="286">
        <f t="shared" si="45"/>
        <v>2.3712936588783391E-2</v>
      </c>
      <c r="AK43" s="286">
        <f t="shared" si="46"/>
        <v>2.3712936588783391E-2</v>
      </c>
      <c r="AL43" s="286">
        <f t="shared" si="47"/>
        <v>2.3712936588783391E-2</v>
      </c>
      <c r="AM43" s="287">
        <f t="shared" si="48"/>
        <v>0</v>
      </c>
      <c r="AN43" s="285">
        <f t="shared" si="60"/>
        <v>0.98871923517060323</v>
      </c>
      <c r="AO43" s="286">
        <f t="shared" si="60"/>
        <v>0.96145092503821106</v>
      </c>
      <c r="AP43" s="286">
        <f t="shared" si="60"/>
        <v>2.9253487395797251E-6</v>
      </c>
      <c r="AQ43" s="286">
        <f t="shared" si="60"/>
        <v>0.29471093550109817</v>
      </c>
      <c r="AR43" s="611">
        <f t="shared" si="60"/>
        <v>0</v>
      </c>
      <c r="AS43" s="637">
        <f t="shared" ca="1" si="50"/>
        <v>4.6315878759073184E-2</v>
      </c>
      <c r="AT43" s="638">
        <f t="shared" ca="1" si="51"/>
        <v>4.3671629597748771E-2</v>
      </c>
      <c r="AU43" s="638">
        <f t="shared" si="52"/>
        <v>0</v>
      </c>
      <c r="AV43" s="638">
        <f t="shared" ca="1" si="53"/>
        <v>0</v>
      </c>
      <c r="AW43" s="639">
        <f t="shared" ca="1" si="54"/>
        <v>0</v>
      </c>
      <c r="AX43" s="282">
        <f t="shared" ca="1" si="55"/>
        <v>4.5793400222925225E-2</v>
      </c>
      <c r="AY43" s="283">
        <f t="shared" ca="1" si="56"/>
        <v>4.1988128674681671E-2</v>
      </c>
      <c r="AZ43" s="283">
        <f t="shared" si="57"/>
        <v>0</v>
      </c>
      <c r="BA43" s="283">
        <f t="shared" ca="1" si="61"/>
        <v>0</v>
      </c>
      <c r="BB43" s="284">
        <f t="shared" ca="1" si="62"/>
        <v>0</v>
      </c>
      <c r="BC43" s="282">
        <f t="shared" ca="1" si="63"/>
        <v>0.95420659977707478</v>
      </c>
      <c r="BD43" s="283">
        <f t="shared" ca="1" si="64"/>
        <v>2.3889257003293973E-2</v>
      </c>
      <c r="BE43" s="283">
        <f t="shared" ca="1" si="65"/>
        <v>2.1904143219631252E-2</v>
      </c>
      <c r="BF43" s="283">
        <f t="shared" ca="1" si="66"/>
        <v>0</v>
      </c>
      <c r="BG43" s="283">
        <f t="shared" ca="1" si="67"/>
        <v>0</v>
      </c>
      <c r="BH43" s="284">
        <f t="shared" ca="1" si="68"/>
        <v>0</v>
      </c>
    </row>
    <row r="44" spans="1:60" x14ac:dyDescent="0.2">
      <c r="A44" s="317">
        <v>2027</v>
      </c>
      <c r="B44" s="820">
        <f t="shared" ref="B44:G53" si="71">ROUND(INDEX(COST_Cls2,$A44-($A$24-1),MATCH(B$20,TECHOPTS_Cls2,0)),2)</f>
        <v>138005</v>
      </c>
      <c r="C44" s="821">
        <f t="shared" si="71"/>
        <v>10700</v>
      </c>
      <c r="D44" s="821">
        <f t="shared" si="71"/>
        <v>17850</v>
      </c>
      <c r="E44" s="821">
        <f t="shared" si="71"/>
        <v>262640</v>
      </c>
      <c r="F44" s="821">
        <f t="shared" si="71"/>
        <v>82928</v>
      </c>
      <c r="G44" s="822">
        <f t="shared" si="71"/>
        <v>1000000</v>
      </c>
      <c r="H44" s="983">
        <f t="shared" ref="H44:M53" si="72">IF(H$21="Single-fuel",1,1-MIN(INDEX(CDRANGE_CLS2,$A44-($A$24-1),MATCH(H$20,TECHOPTS_Cls2,0))*OPDAYS_Cls2/$D$6,1))</f>
        <v>1</v>
      </c>
      <c r="I44" s="984">
        <f t="shared" si="72"/>
        <v>1</v>
      </c>
      <c r="J44" s="984">
        <f t="shared" si="72"/>
        <v>1</v>
      </c>
      <c r="K44" s="984">
        <f t="shared" si="72"/>
        <v>1</v>
      </c>
      <c r="L44" s="984">
        <f t="shared" si="72"/>
        <v>1</v>
      </c>
      <c r="M44" s="985">
        <f t="shared" si="72"/>
        <v>1</v>
      </c>
      <c r="N44" s="289">
        <f t="shared" si="28"/>
        <v>8180.6579525392699</v>
      </c>
      <c r="O44" s="290">
        <f t="shared" si="29"/>
        <v>7181.7578049927452</v>
      </c>
      <c r="P44" s="290">
        <f t="shared" si="30"/>
        <v>6763.9592243130764</v>
      </c>
      <c r="Q44" s="290">
        <f t="shared" si="31"/>
        <v>11530.482069404216</v>
      </c>
      <c r="R44" s="290">
        <f t="shared" si="32"/>
        <v>12093.731206770028</v>
      </c>
      <c r="S44" s="292">
        <f t="shared" si="33"/>
        <v>58454.603196749515</v>
      </c>
      <c r="T44" s="289">
        <f t="shared" si="34"/>
        <v>998.90014754652475</v>
      </c>
      <c r="U44" s="290">
        <f t="shared" si="35"/>
        <v>1416.6987282261935</v>
      </c>
      <c r="V44" s="290">
        <f t="shared" si="36"/>
        <v>-3349.8241168649456</v>
      </c>
      <c r="W44" s="290">
        <f t="shared" si="37"/>
        <v>-3913.0732542307578</v>
      </c>
      <c r="X44" s="292">
        <f t="shared" si="38"/>
        <v>-50273.945244210248</v>
      </c>
      <c r="Y44" s="293">
        <f ca="1">IF(AND(Y$22=TRUE,INDEX(CDRANGE_CLS2,MATCH($A44,$A$24:$A$67,0),MATCH(Y$20,$B$20:$G$20,0))&lt;$D$6/OPDAYS_Cls2),86,payback(C44,T44,disc_rate/12,85))</f>
        <v>12</v>
      </c>
      <c r="Z44" s="294">
        <f ca="1">IF(AND(Z$22=TRUE,INDEX(CDRANGE_CLS2,MATCH($A44,$A$24:$A$67,0),MATCH(Z$20,$B$20:$G$20,0))&lt;$D$6/OPDAYS_Cls2),86,payback(D44,U44,disc_rate/12,85))</f>
        <v>14</v>
      </c>
      <c r="AA44" s="294">
        <f>IF(AND(AA$22=TRUE,INDEX(CDRANGE_CLS2,MATCH($A44,$A$24:$A$67,0),MATCH(AA$20,$B$20:$G$20,0))&lt;$D$6/OPDAYS_Cls2),86,payback(E44,V44,disc_rate/12,85))</f>
        <v>86</v>
      </c>
      <c r="AB44" s="294">
        <f ca="1">IF(AND(AB$22=TRUE,INDEX(CDRANGE_CLS2,MATCH($A44,$A$24:$A$67,0),MATCH(AB$20,$B$20:$G$20,0))&lt;$D$6/OPDAYS_Cls2),86,payback(F44,W44,disc_rate/12,85))</f>
        <v>86</v>
      </c>
      <c r="AC44" s="295">
        <f ca="1">IF(AND(AC$22=TRUE,INDEX(CDRANGE_CLS2,MATCH($A44,$A$24:$A$67,0),MATCH(AC$20,$B$20:$G$20,0))&lt;$D$6/OPDAYS_Cls2),86,payback(G44,X44,disc_rate/12,85))</f>
        <v>86</v>
      </c>
      <c r="AD44" s="296">
        <f t="shared" si="39"/>
        <v>0</v>
      </c>
      <c r="AE44" s="297">
        <f t="shared" si="40"/>
        <v>0</v>
      </c>
      <c r="AF44" s="297">
        <f t="shared" si="41"/>
        <v>0</v>
      </c>
      <c r="AG44" s="297">
        <f t="shared" si="42"/>
        <v>0</v>
      </c>
      <c r="AH44" s="298">
        <f t="shared" si="43"/>
        <v>0</v>
      </c>
      <c r="AI44" s="299">
        <f t="shared" si="44"/>
        <v>5.9601461011058773E-2</v>
      </c>
      <c r="AJ44" s="300">
        <f t="shared" si="45"/>
        <v>5.9601461011058773E-2</v>
      </c>
      <c r="AK44" s="300">
        <f t="shared" si="46"/>
        <v>5.9601461011058773E-2</v>
      </c>
      <c r="AL44" s="300">
        <f t="shared" si="47"/>
        <v>5.9601461011058773E-2</v>
      </c>
      <c r="AM44" s="301">
        <f t="shared" si="48"/>
        <v>0</v>
      </c>
      <c r="AN44" s="299">
        <f t="shared" si="60"/>
        <v>0.98344022462974079</v>
      </c>
      <c r="AO44" s="300">
        <f t="shared" si="60"/>
        <v>0.95459201053414133</v>
      </c>
      <c r="AP44" s="300">
        <f t="shared" si="60"/>
        <v>4.272474235811341E-5</v>
      </c>
      <c r="AQ44" s="300">
        <f t="shared" si="60"/>
        <v>0.36676957351710593</v>
      </c>
      <c r="AR44" s="598">
        <f t="shared" si="60"/>
        <v>0</v>
      </c>
      <c r="AS44" s="282">
        <f t="shared" ca="1" si="50"/>
        <v>0.10976678991293028</v>
      </c>
      <c r="AT44" s="283">
        <f t="shared" ca="1" si="51"/>
        <v>0.10379447262706548</v>
      </c>
      <c r="AU44" s="283">
        <f t="shared" si="52"/>
        <v>0</v>
      </c>
      <c r="AV44" s="283">
        <f t="shared" ca="1" si="53"/>
        <v>0</v>
      </c>
      <c r="AW44" s="284">
        <f t="shared" ca="1" si="54"/>
        <v>0</v>
      </c>
      <c r="AX44" s="296">
        <f t="shared" ca="1" si="55"/>
        <v>0.10794907652885771</v>
      </c>
      <c r="AY44" s="297">
        <f t="shared" ca="1" si="56"/>
        <v>9.908137430740134E-2</v>
      </c>
      <c r="AZ44" s="297">
        <f t="shared" si="57"/>
        <v>0</v>
      </c>
      <c r="BA44" s="283">
        <f t="shared" ca="1" si="61"/>
        <v>0</v>
      </c>
      <c r="BB44" s="284">
        <f t="shared" ca="1" si="62"/>
        <v>0</v>
      </c>
      <c r="BC44" s="282">
        <f t="shared" ca="1" si="63"/>
        <v>0.89205092347114223</v>
      </c>
      <c r="BD44" s="283">
        <f t="shared" ca="1" si="64"/>
        <v>5.628642103788669E-2</v>
      </c>
      <c r="BE44" s="283">
        <f t="shared" ca="1" si="65"/>
        <v>5.1662655490971016E-2</v>
      </c>
      <c r="BF44" s="283">
        <f t="shared" ca="1" si="66"/>
        <v>0</v>
      </c>
      <c r="BG44" s="283">
        <f t="shared" ca="1" si="67"/>
        <v>0</v>
      </c>
      <c r="BH44" s="284">
        <f t="shared" ca="1" si="68"/>
        <v>0</v>
      </c>
    </row>
    <row r="45" spans="1:60" x14ac:dyDescent="0.2">
      <c r="A45" s="317">
        <v>2028</v>
      </c>
      <c r="B45" s="820">
        <f t="shared" si="71"/>
        <v>138718.45000000001</v>
      </c>
      <c r="C45" s="821">
        <f t="shared" si="71"/>
        <v>10903.61</v>
      </c>
      <c r="D45" s="821">
        <f t="shared" si="71"/>
        <v>17897.400000000001</v>
      </c>
      <c r="E45" s="821">
        <f t="shared" si="71"/>
        <v>237377.83</v>
      </c>
      <c r="F45" s="821">
        <f t="shared" si="71"/>
        <v>79682.38</v>
      </c>
      <c r="G45" s="822">
        <f t="shared" si="71"/>
        <v>1000000</v>
      </c>
      <c r="H45" s="983">
        <f t="shared" si="72"/>
        <v>1</v>
      </c>
      <c r="I45" s="984">
        <f t="shared" si="72"/>
        <v>1</v>
      </c>
      <c r="J45" s="984">
        <f t="shared" si="72"/>
        <v>1</v>
      </c>
      <c r="K45" s="984">
        <f t="shared" si="72"/>
        <v>1</v>
      </c>
      <c r="L45" s="984">
        <f t="shared" si="72"/>
        <v>1</v>
      </c>
      <c r="M45" s="985">
        <f t="shared" si="72"/>
        <v>1</v>
      </c>
      <c r="N45" s="289">
        <f t="shared" si="28"/>
        <v>8218.8537211430412</v>
      </c>
      <c r="O45" s="290">
        <f t="shared" si="29"/>
        <v>7003.7815341298747</v>
      </c>
      <c r="P45" s="290">
        <f t="shared" si="30"/>
        <v>6579.3454588543545</v>
      </c>
      <c r="Q45" s="290">
        <f t="shared" si="31"/>
        <v>11160.756712597322</v>
      </c>
      <c r="R45" s="290">
        <f t="shared" si="32"/>
        <v>11531.689969180037</v>
      </c>
      <c r="S45" s="292">
        <f t="shared" si="33"/>
        <v>59351.157755950488</v>
      </c>
      <c r="T45" s="289">
        <f t="shared" si="34"/>
        <v>1215.0721870131665</v>
      </c>
      <c r="U45" s="290">
        <f t="shared" si="35"/>
        <v>1639.5082622886866</v>
      </c>
      <c r="V45" s="290">
        <f t="shared" si="36"/>
        <v>-2941.9029914542807</v>
      </c>
      <c r="W45" s="290">
        <f t="shared" si="37"/>
        <v>-3312.836248036996</v>
      </c>
      <c r="X45" s="292">
        <f t="shared" si="38"/>
        <v>-51132.304034807443</v>
      </c>
      <c r="Y45" s="293">
        <f ca="1">IF(AND(Y$22=TRUE,INDEX(CDRANGE_CLS2,MATCH($A45,$A$24:$A$67,0),MATCH(Y$20,$B$20:$G$20,0))&lt;$D$6/OPDAYS_Cls2),86,payback(C45,T45,disc_rate/12,85))</f>
        <v>10</v>
      </c>
      <c r="Z45" s="294">
        <f ca="1">IF(AND(Z$22=TRUE,INDEX(CDRANGE_CLS2,MATCH($A45,$A$24:$A$67,0),MATCH(Z$20,$B$20:$G$20,0))&lt;$D$6/OPDAYS_Cls2),86,payback(D45,U45,disc_rate/12,85))</f>
        <v>12</v>
      </c>
      <c r="AA45" s="294">
        <f>IF(AND(AA$22=TRUE,INDEX(CDRANGE_CLS2,MATCH($A45,$A$24:$A$67,0),MATCH(AA$20,$B$20:$G$20,0))&lt;$D$6/OPDAYS_Cls2),86,payback(E45,V45,disc_rate/12,85))</f>
        <v>86</v>
      </c>
      <c r="AB45" s="294">
        <f ca="1">IF(AND(AB$22=TRUE,INDEX(CDRANGE_CLS2,MATCH($A45,$A$24:$A$67,0),MATCH(AB$20,$B$20:$G$20,0))&lt;$D$6/OPDAYS_Cls2),86,payback(F45,W45,disc_rate/12,85))</f>
        <v>86</v>
      </c>
      <c r="AC45" s="295">
        <f ca="1">IF(AND(AC$22=TRUE,INDEX(CDRANGE_CLS2,MATCH($A45,$A$24:$A$67,0),MATCH(AC$20,$B$20:$G$20,0))&lt;$D$6/OPDAYS_Cls2),86,payback(G45,X45,disc_rate/12,85))</f>
        <v>86</v>
      </c>
      <c r="AD45" s="296">
        <f t="shared" si="39"/>
        <v>0</v>
      </c>
      <c r="AE45" s="297">
        <f t="shared" si="40"/>
        <v>0</v>
      </c>
      <c r="AF45" s="297">
        <f t="shared" si="41"/>
        <v>0</v>
      </c>
      <c r="AG45" s="297">
        <f t="shared" si="42"/>
        <v>0</v>
      </c>
      <c r="AH45" s="298">
        <f t="shared" si="43"/>
        <v>0</v>
      </c>
      <c r="AI45" s="299">
        <f t="shared" si="44"/>
        <v>0.13447071068499755</v>
      </c>
      <c r="AJ45" s="300">
        <f t="shared" si="45"/>
        <v>0.13447071068499755</v>
      </c>
      <c r="AK45" s="300">
        <f t="shared" si="46"/>
        <v>0.13447071068499755</v>
      </c>
      <c r="AL45" s="300">
        <f t="shared" si="47"/>
        <v>0.13447071068499755</v>
      </c>
      <c r="AM45" s="301">
        <f t="shared" si="48"/>
        <v>0</v>
      </c>
      <c r="AN45" s="299">
        <f t="shared" si="60"/>
        <v>0.98298435969010534</v>
      </c>
      <c r="AO45" s="300">
        <f t="shared" si="60"/>
        <v>0.95481368358818441</v>
      </c>
      <c r="AP45" s="300">
        <f t="shared" si="60"/>
        <v>2.9336377994615415E-4</v>
      </c>
      <c r="AQ45" s="300">
        <f t="shared" si="60"/>
        <v>0.39989843526229429</v>
      </c>
      <c r="AR45" s="598">
        <f t="shared" si="60"/>
        <v>0</v>
      </c>
      <c r="AS45" s="282">
        <f t="shared" ca="1" si="50"/>
        <v>0.25846090647897763</v>
      </c>
      <c r="AT45" s="283">
        <f t="shared" ca="1" si="51"/>
        <v>0.24765195347247992</v>
      </c>
      <c r="AU45" s="283">
        <f t="shared" si="52"/>
        <v>0</v>
      </c>
      <c r="AV45" s="283">
        <f t="shared" ca="1" si="53"/>
        <v>0</v>
      </c>
      <c r="AW45" s="284">
        <f t="shared" ca="1" si="54"/>
        <v>0</v>
      </c>
      <c r="AX45" s="296">
        <f t="shared" ca="1" si="55"/>
        <v>0.254063028660162</v>
      </c>
      <c r="AY45" s="297">
        <f t="shared" ca="1" si="56"/>
        <v>0.23646147394286821</v>
      </c>
      <c r="AZ45" s="297">
        <f t="shared" si="57"/>
        <v>0</v>
      </c>
      <c r="BA45" s="283">
        <f t="shared" ca="1" si="61"/>
        <v>0</v>
      </c>
      <c r="BB45" s="284">
        <f t="shared" ca="1" si="62"/>
        <v>0</v>
      </c>
      <c r="BC45" s="282">
        <f t="shared" ca="1" si="63"/>
        <v>0.74593697133983805</v>
      </c>
      <c r="BD45" s="283">
        <f t="shared" ca="1" si="64"/>
        <v>0.1315898027304285</v>
      </c>
      <c r="BE45" s="283">
        <f t="shared" ca="1" si="65"/>
        <v>0.1224732259297335</v>
      </c>
      <c r="BF45" s="283">
        <f t="shared" ca="1" si="66"/>
        <v>0</v>
      </c>
      <c r="BG45" s="283">
        <f t="shared" ca="1" si="67"/>
        <v>0</v>
      </c>
      <c r="BH45" s="284">
        <f t="shared" ca="1" si="68"/>
        <v>0</v>
      </c>
    </row>
    <row r="46" spans="1:60" x14ac:dyDescent="0.2">
      <c r="A46" s="317">
        <v>2029</v>
      </c>
      <c r="B46" s="820">
        <f t="shared" si="71"/>
        <v>139224.5</v>
      </c>
      <c r="C46" s="821">
        <f t="shared" si="71"/>
        <v>11056.68</v>
      </c>
      <c r="D46" s="821">
        <f t="shared" si="71"/>
        <v>17933.03</v>
      </c>
      <c r="E46" s="821">
        <f t="shared" si="71"/>
        <v>218385.6</v>
      </c>
      <c r="F46" s="821">
        <f t="shared" si="71"/>
        <v>77242.3</v>
      </c>
      <c r="G46" s="822">
        <f t="shared" si="71"/>
        <v>1000000</v>
      </c>
      <c r="H46" s="983">
        <f t="shared" si="72"/>
        <v>1</v>
      </c>
      <c r="I46" s="984">
        <f t="shared" si="72"/>
        <v>1</v>
      </c>
      <c r="J46" s="984">
        <f t="shared" si="72"/>
        <v>1</v>
      </c>
      <c r="K46" s="984">
        <f t="shared" si="72"/>
        <v>1</v>
      </c>
      <c r="L46" s="984">
        <f t="shared" si="72"/>
        <v>1</v>
      </c>
      <c r="M46" s="985">
        <f t="shared" si="72"/>
        <v>1</v>
      </c>
      <c r="N46" s="289">
        <f t="shared" si="28"/>
        <v>8234.1728817280855</v>
      </c>
      <c r="O46" s="290">
        <f t="shared" si="29"/>
        <v>6865.1913281238894</v>
      </c>
      <c r="P46" s="290">
        <f t="shared" si="30"/>
        <v>6437.5254204788271</v>
      </c>
      <c r="Q46" s="290">
        <f t="shared" si="31"/>
        <v>10870.214439797508</v>
      </c>
      <c r="R46" s="290">
        <f t="shared" si="32"/>
        <v>11079.711659775608</v>
      </c>
      <c r="S46" s="292">
        <f t="shared" si="33"/>
        <v>59904.937552094714</v>
      </c>
      <c r="T46" s="289">
        <f t="shared" si="34"/>
        <v>1368.9815536041961</v>
      </c>
      <c r="U46" s="290">
        <f t="shared" si="35"/>
        <v>1796.6474612492584</v>
      </c>
      <c r="V46" s="290">
        <f t="shared" si="36"/>
        <v>-2636.0415580694225</v>
      </c>
      <c r="W46" s="290">
        <f t="shared" si="37"/>
        <v>-2845.538778047523</v>
      </c>
      <c r="X46" s="292">
        <f t="shared" si="38"/>
        <v>-51670.764670366625</v>
      </c>
      <c r="Y46" s="293">
        <f ca="1">IF(AND(Y$22=TRUE,INDEX(CDRANGE_CLS2,MATCH($A46,$A$24:$A$67,0),MATCH(Y$20,$B$20:$G$20,0))&lt;$D$6/OPDAYS_Cls2),86,payback(C46,T46,disc_rate/12,85))</f>
        <v>9</v>
      </c>
      <c r="Z46" s="294">
        <f ca="1">IF(AND(Z$22=TRUE,INDEX(CDRANGE_CLS2,MATCH($A46,$A$24:$A$67,0),MATCH(Z$20,$B$20:$G$20,0))&lt;$D$6/OPDAYS_Cls2),86,payback(D46,U46,disc_rate/12,85))</f>
        <v>11</v>
      </c>
      <c r="AA46" s="294">
        <f>IF(AND(AA$22=TRUE,INDEX(CDRANGE_CLS2,MATCH($A46,$A$24:$A$67,0),MATCH(AA$20,$B$20:$G$20,0))&lt;$D$6/OPDAYS_Cls2),86,payback(E46,V46,disc_rate/12,85))</f>
        <v>86</v>
      </c>
      <c r="AB46" s="294">
        <f ca="1">IF(AND(AB$22=TRUE,INDEX(CDRANGE_CLS2,MATCH($A46,$A$24:$A$67,0),MATCH(AB$20,$B$20:$G$20,0))&lt;$D$6/OPDAYS_Cls2),86,payback(F46,W46,disc_rate/12,85))</f>
        <v>86</v>
      </c>
      <c r="AC46" s="295">
        <f ca="1">IF(AND(AC$22=TRUE,INDEX(CDRANGE_CLS2,MATCH($A46,$A$24:$A$67,0),MATCH(AC$20,$B$20:$G$20,0))&lt;$D$6/OPDAYS_Cls2),86,payback(G46,X46,disc_rate/12,85))</f>
        <v>86</v>
      </c>
      <c r="AD46" s="296">
        <f t="shared" si="39"/>
        <v>0</v>
      </c>
      <c r="AE46" s="297">
        <f t="shared" si="40"/>
        <v>0</v>
      </c>
      <c r="AF46" s="297">
        <f t="shared" si="41"/>
        <v>0</v>
      </c>
      <c r="AG46" s="297">
        <f t="shared" si="42"/>
        <v>0</v>
      </c>
      <c r="AH46" s="298">
        <f t="shared" si="43"/>
        <v>0</v>
      </c>
      <c r="AI46" s="299">
        <f t="shared" si="44"/>
        <v>0.25</v>
      </c>
      <c r="AJ46" s="300">
        <f t="shared" si="45"/>
        <v>0.25</v>
      </c>
      <c r="AK46" s="300">
        <f t="shared" si="46"/>
        <v>0.25</v>
      </c>
      <c r="AL46" s="300">
        <f t="shared" si="47"/>
        <v>0.25</v>
      </c>
      <c r="AM46" s="301">
        <f t="shared" si="48"/>
        <v>0</v>
      </c>
      <c r="AN46" s="299">
        <f t="shared" si="60"/>
        <v>0.98263331438232193</v>
      </c>
      <c r="AO46" s="300">
        <f t="shared" si="60"/>
        <v>0.95495937609155168</v>
      </c>
      <c r="AP46" s="300">
        <f t="shared" si="60"/>
        <v>1.0758796438637974E-3</v>
      </c>
      <c r="AQ46" s="300">
        <f t="shared" si="60"/>
        <v>0.4252744460293767</v>
      </c>
      <c r="AR46" s="598">
        <f t="shared" si="60"/>
        <v>0</v>
      </c>
      <c r="AS46" s="282">
        <f t="shared" ca="1" si="50"/>
        <v>0.48829758585216049</v>
      </c>
      <c r="AT46" s="283">
        <f t="shared" ca="1" si="51"/>
        <v>0.47116621307825446</v>
      </c>
      <c r="AU46" s="283">
        <f t="shared" si="52"/>
        <v>0</v>
      </c>
      <c r="AV46" s="283">
        <f t="shared" ca="1" si="53"/>
        <v>0</v>
      </c>
      <c r="AW46" s="284">
        <f t="shared" ca="1" si="54"/>
        <v>0</v>
      </c>
      <c r="AX46" s="296">
        <f t="shared" ca="1" si="55"/>
        <v>0.47981747519079487</v>
      </c>
      <c r="AY46" s="297">
        <f t="shared" ca="1" si="56"/>
        <v>0.44994459287662897</v>
      </c>
      <c r="AZ46" s="297">
        <f t="shared" si="57"/>
        <v>0</v>
      </c>
      <c r="BA46" s="283">
        <f t="shared" ca="1" si="61"/>
        <v>0</v>
      </c>
      <c r="BB46" s="284">
        <f t="shared" ca="1" si="62"/>
        <v>0</v>
      </c>
      <c r="BC46" s="282">
        <f t="shared" ca="1" si="63"/>
        <v>0.52018252480920513</v>
      </c>
      <c r="BD46" s="283">
        <f t="shared" ca="1" si="64"/>
        <v>0.24761690910558176</v>
      </c>
      <c r="BE46" s="283">
        <f t="shared" ca="1" si="65"/>
        <v>0.23220056608521306</v>
      </c>
      <c r="BF46" s="283">
        <f t="shared" ca="1" si="66"/>
        <v>0</v>
      </c>
      <c r="BG46" s="283">
        <f t="shared" ca="1" si="67"/>
        <v>0</v>
      </c>
      <c r="BH46" s="284">
        <f t="shared" ca="1" si="68"/>
        <v>0</v>
      </c>
    </row>
    <row r="47" spans="1:60" ht="13.5" thickBot="1" x14ac:dyDescent="0.25">
      <c r="A47" s="302">
        <v>2030</v>
      </c>
      <c r="B47" s="814">
        <f t="shared" si="71"/>
        <v>139523.14000000001</v>
      </c>
      <c r="C47" s="815">
        <f t="shared" si="71"/>
        <v>11247.36</v>
      </c>
      <c r="D47" s="815">
        <f t="shared" si="71"/>
        <v>17977.419999999998</v>
      </c>
      <c r="E47" s="815">
        <f t="shared" si="71"/>
        <v>194727.29</v>
      </c>
      <c r="F47" s="815">
        <f t="shared" si="71"/>
        <v>74202.740000000005</v>
      </c>
      <c r="G47" s="816">
        <f t="shared" si="71"/>
        <v>1000000</v>
      </c>
      <c r="H47" s="977">
        <f t="shared" si="72"/>
        <v>1</v>
      </c>
      <c r="I47" s="978">
        <f t="shared" si="72"/>
        <v>1</v>
      </c>
      <c r="J47" s="978">
        <f t="shared" si="72"/>
        <v>1</v>
      </c>
      <c r="K47" s="978">
        <f t="shared" si="72"/>
        <v>1</v>
      </c>
      <c r="L47" s="978">
        <f t="shared" si="72"/>
        <v>1</v>
      </c>
      <c r="M47" s="979">
        <f t="shared" si="72"/>
        <v>1</v>
      </c>
      <c r="N47" s="303">
        <f t="shared" si="28"/>
        <v>8369.3569980978064</v>
      </c>
      <c r="O47" s="304">
        <f t="shared" si="29"/>
        <v>6765.2410821675157</v>
      </c>
      <c r="P47" s="304">
        <f t="shared" si="30"/>
        <v>6330.4718894234575</v>
      </c>
      <c r="Q47" s="304">
        <f t="shared" si="31"/>
        <v>10529.380444954055</v>
      </c>
      <c r="R47" s="304">
        <f t="shared" si="32"/>
        <v>10591.970304479039</v>
      </c>
      <c r="S47" s="306">
        <f t="shared" si="33"/>
        <v>61154.248772588187</v>
      </c>
      <c r="T47" s="303">
        <f t="shared" si="34"/>
        <v>1604.1159159302906</v>
      </c>
      <c r="U47" s="304">
        <f t="shared" si="35"/>
        <v>2038.8851086743489</v>
      </c>
      <c r="V47" s="304">
        <f t="shared" si="36"/>
        <v>-2160.0234468562485</v>
      </c>
      <c r="W47" s="304">
        <f t="shared" si="37"/>
        <v>-2222.6133063812322</v>
      </c>
      <c r="X47" s="306">
        <f t="shared" si="38"/>
        <v>-52784.891774490381</v>
      </c>
      <c r="Y47" s="307">
        <f ca="1">IF(AND(Y$22=TRUE,INDEX(CDRANGE_CLS2,MATCH($A47,$A$24:$A$67,0),MATCH(Y$20,$B$20:$G$20,0))&lt;$D$6/OPDAYS_Cls2),86,payback(C47,T47,disc_rate/12,85))</f>
        <v>8</v>
      </c>
      <c r="Z47" s="308">
        <f ca="1">IF(AND(Z$22=TRUE,INDEX(CDRANGE_CLS2,MATCH($A47,$A$24:$A$67,0),MATCH(Z$20,$B$20:$G$20,0))&lt;$D$6/OPDAYS_Cls2),86,payback(D47,U47,disc_rate/12,85))</f>
        <v>10</v>
      </c>
      <c r="AA47" s="308">
        <f>IF(AND(AA$22=TRUE,INDEX(CDRANGE_CLS2,MATCH($A47,$A$24:$A$67,0),MATCH(AA$20,$B$20:$G$20,0))&lt;$D$6/OPDAYS_Cls2),86,payback(E47,V47,disc_rate/12,85))</f>
        <v>86</v>
      </c>
      <c r="AB47" s="308">
        <f ca="1">IF(AND(AB$22=TRUE,INDEX(CDRANGE_CLS2,MATCH($A47,$A$24:$A$67,0),MATCH(AB$20,$B$20:$G$20,0))&lt;$D$6/OPDAYS_Cls2),86,payback(F47,W47,disc_rate/12,85))</f>
        <v>86</v>
      </c>
      <c r="AC47" s="309">
        <f ca="1">IF(AND(AC$22=TRUE,INDEX(CDRANGE_CLS2,MATCH($A47,$A$24:$A$67,0),MATCH(AC$20,$B$20:$G$20,0))&lt;$D$6/OPDAYS_Cls2),86,payback(G47,X47,disc_rate/12,85))</f>
        <v>86</v>
      </c>
      <c r="AD47" s="310">
        <f t="shared" si="39"/>
        <v>0</v>
      </c>
      <c r="AE47" s="311">
        <f t="shared" si="40"/>
        <v>0</v>
      </c>
      <c r="AF47" s="311">
        <f t="shared" si="41"/>
        <v>0</v>
      </c>
      <c r="AG47" s="311">
        <f t="shared" si="42"/>
        <v>0</v>
      </c>
      <c r="AH47" s="312">
        <f t="shared" si="43"/>
        <v>0</v>
      </c>
      <c r="AI47" s="313">
        <f t="shared" si="44"/>
        <v>0.36552928931500245</v>
      </c>
      <c r="AJ47" s="314">
        <f t="shared" si="45"/>
        <v>0.36552928931500245</v>
      </c>
      <c r="AK47" s="314">
        <f t="shared" si="46"/>
        <v>0.36552928931500245</v>
      </c>
      <c r="AL47" s="314">
        <f t="shared" si="47"/>
        <v>0.36552928931500245</v>
      </c>
      <c r="AM47" s="315">
        <f t="shared" si="48"/>
        <v>0</v>
      </c>
      <c r="AN47" s="630">
        <f t="shared" si="60"/>
        <v>0.98211074169010604</v>
      </c>
      <c r="AO47" s="628">
        <f t="shared" si="60"/>
        <v>0.95493036086242933</v>
      </c>
      <c r="AP47" s="628">
        <f t="shared" si="60"/>
        <v>4.4682216236359151E-3</v>
      </c>
      <c r="AQ47" s="628">
        <f t="shared" si="60"/>
        <v>0.45581030339573658</v>
      </c>
      <c r="AR47" s="629">
        <f t="shared" si="60"/>
        <v>0</v>
      </c>
      <c r="AS47" s="319">
        <f t="shared" ca="1" si="50"/>
        <v>0.72276103453031182</v>
      </c>
      <c r="AT47" s="320">
        <f t="shared" ca="1" si="51"/>
        <v>0.70256958544885761</v>
      </c>
      <c r="AU47" s="320">
        <f t="shared" si="52"/>
        <v>0</v>
      </c>
      <c r="AV47" s="320">
        <f t="shared" ca="1" si="53"/>
        <v>0</v>
      </c>
      <c r="AW47" s="321">
        <f t="shared" ca="1" si="54"/>
        <v>0</v>
      </c>
      <c r="AX47" s="310">
        <f t="shared" ca="1" si="55"/>
        <v>0.70983137568727284</v>
      </c>
      <c r="AY47" s="311">
        <f t="shared" ca="1" si="56"/>
        <v>0.67090502776364502</v>
      </c>
      <c r="AZ47" s="311">
        <f t="shared" si="57"/>
        <v>0</v>
      </c>
      <c r="BA47" s="311">
        <f t="shared" ca="1" si="61"/>
        <v>0</v>
      </c>
      <c r="BB47" s="312">
        <f t="shared" ca="1" si="62"/>
        <v>0</v>
      </c>
      <c r="BC47" s="310">
        <f t="shared" ca="1" si="63"/>
        <v>0.29016862431272705</v>
      </c>
      <c r="BD47" s="311">
        <f t="shared" ca="1" si="64"/>
        <v>0.36492163214555057</v>
      </c>
      <c r="BE47" s="311">
        <f t="shared" ca="1" si="65"/>
        <v>0.34490974354172238</v>
      </c>
      <c r="BF47" s="311">
        <f t="shared" ca="1" si="66"/>
        <v>0</v>
      </c>
      <c r="BG47" s="311">
        <f t="shared" ca="1" si="67"/>
        <v>0</v>
      </c>
      <c r="BH47" s="312">
        <f t="shared" ca="1" si="68"/>
        <v>0</v>
      </c>
    </row>
    <row r="48" spans="1:60" x14ac:dyDescent="0.2">
      <c r="A48" s="316">
        <v>2031</v>
      </c>
      <c r="B48" s="817">
        <f t="shared" si="71"/>
        <v>139576.1</v>
      </c>
      <c r="C48" s="818">
        <f t="shared" si="71"/>
        <v>11427.6</v>
      </c>
      <c r="D48" s="818">
        <f t="shared" si="71"/>
        <v>18019.37</v>
      </c>
      <c r="E48" s="818">
        <f t="shared" si="71"/>
        <v>172364.6</v>
      </c>
      <c r="F48" s="818">
        <f t="shared" si="71"/>
        <v>71329.64</v>
      </c>
      <c r="G48" s="819">
        <f t="shared" si="71"/>
        <v>1000000</v>
      </c>
      <c r="H48" s="980">
        <f t="shared" si="72"/>
        <v>1</v>
      </c>
      <c r="I48" s="981">
        <f t="shared" si="72"/>
        <v>1</v>
      </c>
      <c r="J48" s="981">
        <f t="shared" si="72"/>
        <v>1</v>
      </c>
      <c r="K48" s="981">
        <f t="shared" si="72"/>
        <v>1</v>
      </c>
      <c r="L48" s="981">
        <f t="shared" si="72"/>
        <v>1</v>
      </c>
      <c r="M48" s="982">
        <f t="shared" si="72"/>
        <v>1</v>
      </c>
      <c r="N48" s="275">
        <f t="shared" si="28"/>
        <v>8456.6553714631882</v>
      </c>
      <c r="O48" s="276">
        <f t="shared" si="29"/>
        <v>6623.8755544007199</v>
      </c>
      <c r="P48" s="276">
        <f t="shared" si="30"/>
        <v>6186.7064266929956</v>
      </c>
      <c r="Q48" s="276">
        <f t="shared" si="31"/>
        <v>10248.042691956936</v>
      </c>
      <c r="R48" s="276">
        <f t="shared" si="32"/>
        <v>10143.16563950899</v>
      </c>
      <c r="S48" s="278">
        <f t="shared" si="33"/>
        <v>61839.762585291144</v>
      </c>
      <c r="T48" s="275">
        <f t="shared" si="34"/>
        <v>1832.7798170624683</v>
      </c>
      <c r="U48" s="276">
        <f t="shared" si="35"/>
        <v>2269.9489447701926</v>
      </c>
      <c r="V48" s="276">
        <f t="shared" si="36"/>
        <v>-1791.3873204937481</v>
      </c>
      <c r="W48" s="276">
        <f t="shared" si="37"/>
        <v>-1686.5102680458021</v>
      </c>
      <c r="X48" s="278">
        <f t="shared" si="38"/>
        <v>-53383.107213827956</v>
      </c>
      <c r="Y48" s="279">
        <f ca="1">IF(AND(Y$22=TRUE,INDEX(CDRANGE_CLS2,MATCH($A48,$A$24:$A$67,0),MATCH(Y$20,$B$20:$G$20,0))&lt;$D$6/OPDAYS_Cls2),86,payback(C48,T48,disc_rate/12,85))</f>
        <v>7</v>
      </c>
      <c r="Z48" s="280">
        <f ca="1">IF(AND(Z$22=TRUE,INDEX(CDRANGE_CLS2,MATCH($A48,$A$24:$A$67,0),MATCH(Z$20,$B$20:$G$20,0))&lt;$D$6/OPDAYS_Cls2),86,payback(D48,U48,disc_rate/12,85))</f>
        <v>9</v>
      </c>
      <c r="AA48" s="280">
        <f>IF(AND(AA$22=TRUE,INDEX(CDRANGE_CLS2,MATCH($A48,$A$24:$A$67,0),MATCH(AA$20,$B$20:$G$20,0))&lt;$D$6/OPDAYS_Cls2),86,payback(E48,V48,disc_rate/12,85))</f>
        <v>86</v>
      </c>
      <c r="AB48" s="280">
        <f ca="1">IF(AND(AB$22=TRUE,INDEX(CDRANGE_CLS2,MATCH($A48,$A$24:$A$67,0),MATCH(AB$20,$B$20:$G$20,0))&lt;$D$6/OPDAYS_Cls2),86,payback(F48,W48,disc_rate/12,85))</f>
        <v>86</v>
      </c>
      <c r="AC48" s="281">
        <f ca="1">IF(AND(AC$22=TRUE,INDEX(CDRANGE_CLS2,MATCH($A48,$A$24:$A$67,0),MATCH(AC$20,$B$20:$G$20,0))&lt;$D$6/OPDAYS_Cls2),86,payback(G48,X48,disc_rate/12,85))</f>
        <v>86</v>
      </c>
      <c r="AD48" s="282">
        <f t="shared" si="39"/>
        <v>0</v>
      </c>
      <c r="AE48" s="283">
        <f t="shared" si="40"/>
        <v>0</v>
      </c>
      <c r="AF48" s="283">
        <f t="shared" si="41"/>
        <v>0</v>
      </c>
      <c r="AG48" s="283">
        <f t="shared" si="42"/>
        <v>0</v>
      </c>
      <c r="AH48" s="284">
        <f t="shared" si="43"/>
        <v>0</v>
      </c>
      <c r="AI48" s="285">
        <f t="shared" si="44"/>
        <v>0.44039853898894116</v>
      </c>
      <c r="AJ48" s="286">
        <f t="shared" si="45"/>
        <v>0.44039853898894116</v>
      </c>
      <c r="AK48" s="286">
        <f t="shared" si="46"/>
        <v>0.44039853898894116</v>
      </c>
      <c r="AL48" s="286">
        <f t="shared" si="47"/>
        <v>0.44039853898894116</v>
      </c>
      <c r="AM48" s="287">
        <f t="shared" si="48"/>
        <v>0</v>
      </c>
      <c r="AN48" s="643">
        <f t="shared" si="60"/>
        <v>0.98155203864283613</v>
      </c>
      <c r="AO48" s="641">
        <f t="shared" si="60"/>
        <v>0.95475818009269808</v>
      </c>
      <c r="AP48" s="641">
        <f t="shared" si="60"/>
        <v>1.4463139397869695E-2</v>
      </c>
      <c r="AQ48" s="641">
        <f t="shared" si="60"/>
        <v>0.48410023495843946</v>
      </c>
      <c r="AR48" s="642">
        <f t="shared" si="60"/>
        <v>0</v>
      </c>
      <c r="AS48" s="282">
        <f t="shared" ca="1" si="50"/>
        <v>0.87791448052733856</v>
      </c>
      <c r="AT48" s="283">
        <f t="shared" ca="1" si="51"/>
        <v>0.86018217360447413</v>
      </c>
      <c r="AU48" s="283">
        <f t="shared" si="52"/>
        <v>0</v>
      </c>
      <c r="AV48" s="283">
        <f t="shared" ca="1" si="53"/>
        <v>0</v>
      </c>
      <c r="AW48" s="284">
        <f t="shared" ca="1" si="54"/>
        <v>0</v>
      </c>
      <c r="AX48" s="282">
        <f t="shared" ca="1" si="55"/>
        <v>0.86171874811567561</v>
      </c>
      <c r="AY48" s="283">
        <f t="shared" ca="1" si="56"/>
        <v>0.82126596661878903</v>
      </c>
      <c r="AZ48" s="283">
        <f t="shared" si="57"/>
        <v>0</v>
      </c>
      <c r="BA48" s="283">
        <f t="shared" ca="1" si="61"/>
        <v>0</v>
      </c>
      <c r="BB48" s="284">
        <f t="shared" ca="1" si="62"/>
        <v>0</v>
      </c>
      <c r="BC48" s="282">
        <f t="shared" ca="1" si="63"/>
        <v>0.13828125188432439</v>
      </c>
      <c r="BD48" s="283">
        <f t="shared" ca="1" si="64"/>
        <v>0.4412156535665302</v>
      </c>
      <c r="BE48" s="283">
        <f t="shared" ca="1" si="65"/>
        <v>0.42050309454914542</v>
      </c>
      <c r="BF48" s="283">
        <f t="shared" ca="1" si="66"/>
        <v>0</v>
      </c>
      <c r="BG48" s="283">
        <f t="shared" ca="1" si="67"/>
        <v>0</v>
      </c>
      <c r="BH48" s="284">
        <f t="shared" ca="1" si="68"/>
        <v>0</v>
      </c>
    </row>
    <row r="49" spans="1:60" x14ac:dyDescent="0.2">
      <c r="A49" s="317">
        <v>2032</v>
      </c>
      <c r="B49" s="820">
        <f t="shared" si="71"/>
        <v>139629.1</v>
      </c>
      <c r="C49" s="821">
        <f t="shared" si="71"/>
        <v>11558.6</v>
      </c>
      <c r="D49" s="821">
        <f t="shared" si="71"/>
        <v>18049.87</v>
      </c>
      <c r="E49" s="821">
        <f t="shared" si="71"/>
        <v>156110.19</v>
      </c>
      <c r="F49" s="821">
        <f t="shared" si="71"/>
        <v>69241.31</v>
      </c>
      <c r="G49" s="822">
        <f t="shared" si="71"/>
        <v>1000000</v>
      </c>
      <c r="H49" s="983">
        <f t="shared" si="72"/>
        <v>1</v>
      </c>
      <c r="I49" s="984">
        <f t="shared" si="72"/>
        <v>1</v>
      </c>
      <c r="J49" s="984">
        <f t="shared" si="72"/>
        <v>1</v>
      </c>
      <c r="K49" s="984">
        <f t="shared" si="72"/>
        <v>1</v>
      </c>
      <c r="L49" s="984">
        <f t="shared" si="72"/>
        <v>1</v>
      </c>
      <c r="M49" s="985">
        <f t="shared" si="72"/>
        <v>1</v>
      </c>
      <c r="N49" s="289">
        <f t="shared" si="28"/>
        <v>8511.4352743208074</v>
      </c>
      <c r="O49" s="290">
        <f t="shared" si="29"/>
        <v>6521.4253028998155</v>
      </c>
      <c r="P49" s="290">
        <f t="shared" si="30"/>
        <v>6083.2638526549772</v>
      </c>
      <c r="Q49" s="290">
        <f t="shared" si="31"/>
        <v>10058.090463751252</v>
      </c>
      <c r="R49" s="290">
        <f t="shared" si="32"/>
        <v>9778.2478180748276</v>
      </c>
      <c r="S49" s="292">
        <f t="shared" si="33"/>
        <v>62288.320470259867</v>
      </c>
      <c r="T49" s="289">
        <f t="shared" si="34"/>
        <v>1990.0099714209919</v>
      </c>
      <c r="U49" s="290">
        <f t="shared" si="35"/>
        <v>2428.1714216658302</v>
      </c>
      <c r="V49" s="290">
        <f t="shared" si="36"/>
        <v>-1546.6551894304448</v>
      </c>
      <c r="W49" s="290">
        <f t="shared" si="37"/>
        <v>-1266.8125437540202</v>
      </c>
      <c r="X49" s="292">
        <f t="shared" si="38"/>
        <v>-53776.885195939059</v>
      </c>
      <c r="Y49" s="293">
        <f ca="1">IF(AND(Y$22=TRUE,INDEX(CDRANGE_CLS2,MATCH($A49,$A$24:$A$67,0),MATCH(Y$20,$B$20:$G$20,0))&lt;$D$6/OPDAYS_Cls2),86,payback(C49,T49,disc_rate/12,85))</f>
        <v>6</v>
      </c>
      <c r="Z49" s="294">
        <f ca="1">IF(AND(Z$22=TRUE,INDEX(CDRANGE_CLS2,MATCH($A49,$A$24:$A$67,0),MATCH(Z$20,$B$20:$G$20,0))&lt;$D$6/OPDAYS_Cls2),86,payback(D49,U49,disc_rate/12,85))</f>
        <v>8</v>
      </c>
      <c r="AA49" s="294">
        <f>IF(AND(AA$22=TRUE,INDEX(CDRANGE_CLS2,MATCH($A49,$A$24:$A$67,0),MATCH(AA$20,$B$20:$G$20,0))&lt;$D$6/OPDAYS_Cls2),86,payback(E49,V49,disc_rate/12,85))</f>
        <v>86</v>
      </c>
      <c r="AB49" s="294">
        <f ca="1">IF(AND(AB$22=TRUE,INDEX(CDRANGE_CLS2,MATCH($A49,$A$24:$A$67,0),MATCH(AB$20,$B$20:$G$20,0))&lt;$D$6/OPDAYS_Cls2),86,payback(F49,W49,disc_rate/12,85))</f>
        <v>86</v>
      </c>
      <c r="AC49" s="295">
        <f ca="1">IF(AND(AC$22=TRUE,INDEX(CDRANGE_CLS2,MATCH($A49,$A$24:$A$67,0),MATCH(AC$20,$B$20:$G$20,0))&lt;$D$6/OPDAYS_Cls2),86,payback(G49,X49,disc_rate/12,85))</f>
        <v>86</v>
      </c>
      <c r="AD49" s="296">
        <f t="shared" si="39"/>
        <v>0</v>
      </c>
      <c r="AE49" s="297">
        <f t="shared" si="40"/>
        <v>0</v>
      </c>
      <c r="AF49" s="297">
        <f t="shared" si="41"/>
        <v>0</v>
      </c>
      <c r="AG49" s="297">
        <f t="shared" si="42"/>
        <v>0</v>
      </c>
      <c r="AH49" s="298">
        <f t="shared" si="43"/>
        <v>0</v>
      </c>
      <c r="AI49" s="299">
        <f t="shared" si="44"/>
        <v>0.47628706341121668</v>
      </c>
      <c r="AJ49" s="300">
        <f t="shared" si="45"/>
        <v>0.47628706341121668</v>
      </c>
      <c r="AK49" s="300">
        <f t="shared" si="46"/>
        <v>0.47628706341121668</v>
      </c>
      <c r="AL49" s="300">
        <f t="shared" si="47"/>
        <v>0.47628706341121668</v>
      </c>
      <c r="AM49" s="301">
        <f t="shared" si="48"/>
        <v>0</v>
      </c>
      <c r="AN49" s="299">
        <f t="shared" si="60"/>
        <v>0.98114488352472651</v>
      </c>
      <c r="AO49" s="300">
        <f t="shared" si="60"/>
        <v>0.9546420876822026</v>
      </c>
      <c r="AP49" s="300">
        <f t="shared" si="60"/>
        <v>3.1047806026755276E-2</v>
      </c>
      <c r="AQ49" s="300">
        <f t="shared" si="60"/>
        <v>0.50505535541711721</v>
      </c>
      <c r="AR49" s="598">
        <f t="shared" si="60"/>
        <v>0</v>
      </c>
      <c r="AS49" s="282">
        <f t="shared" ca="1" si="50"/>
        <v>0.95257412682243336</v>
      </c>
      <c r="AT49" s="283">
        <f t="shared" ca="1" si="51"/>
        <v>0.94176237239319482</v>
      </c>
      <c r="AU49" s="283">
        <f t="shared" si="52"/>
        <v>0</v>
      </c>
      <c r="AV49" s="283">
        <f t="shared" ca="1" si="53"/>
        <v>0</v>
      </c>
      <c r="AW49" s="284">
        <f t="shared" ca="1" si="54"/>
        <v>0</v>
      </c>
      <c r="AX49" s="296">
        <f t="shared" ca="1" si="55"/>
        <v>0.93461323070986446</v>
      </c>
      <c r="AY49" s="297">
        <f t="shared" ca="1" si="56"/>
        <v>0.89904599728198342</v>
      </c>
      <c r="AZ49" s="297">
        <f t="shared" si="57"/>
        <v>0</v>
      </c>
      <c r="BA49" s="283">
        <f t="shared" ca="1" si="61"/>
        <v>0</v>
      </c>
      <c r="BB49" s="284">
        <f t="shared" ca="1" si="62"/>
        <v>0</v>
      </c>
      <c r="BC49" s="282">
        <f t="shared" ca="1" si="63"/>
        <v>6.5386769290135538E-2</v>
      </c>
      <c r="BD49" s="283">
        <f t="shared" ca="1" si="64"/>
        <v>0.47637089688390771</v>
      </c>
      <c r="BE49" s="283">
        <f t="shared" ca="1" si="65"/>
        <v>0.45824233382595675</v>
      </c>
      <c r="BF49" s="283">
        <f t="shared" ca="1" si="66"/>
        <v>0</v>
      </c>
      <c r="BG49" s="283">
        <f t="shared" ca="1" si="67"/>
        <v>0</v>
      </c>
      <c r="BH49" s="284">
        <f t="shared" ca="1" si="68"/>
        <v>0</v>
      </c>
    </row>
    <row r="50" spans="1:60" x14ac:dyDescent="0.2">
      <c r="A50" s="317">
        <v>2033</v>
      </c>
      <c r="B50" s="820">
        <f t="shared" si="71"/>
        <v>139682.14000000001</v>
      </c>
      <c r="C50" s="821">
        <f t="shared" si="71"/>
        <v>11636.76</v>
      </c>
      <c r="D50" s="821">
        <f t="shared" si="71"/>
        <v>18068.060000000001</v>
      </c>
      <c r="E50" s="821">
        <f t="shared" si="71"/>
        <v>146413.23000000001</v>
      </c>
      <c r="F50" s="821">
        <f t="shared" si="71"/>
        <v>67995.47</v>
      </c>
      <c r="G50" s="822">
        <f t="shared" si="71"/>
        <v>1000000</v>
      </c>
      <c r="H50" s="983">
        <f t="shared" si="72"/>
        <v>1</v>
      </c>
      <c r="I50" s="984">
        <f t="shared" si="72"/>
        <v>1</v>
      </c>
      <c r="J50" s="984">
        <f t="shared" si="72"/>
        <v>1</v>
      </c>
      <c r="K50" s="984">
        <f t="shared" si="72"/>
        <v>1</v>
      </c>
      <c r="L50" s="984">
        <f t="shared" si="72"/>
        <v>1</v>
      </c>
      <c r="M50" s="985">
        <f t="shared" si="72"/>
        <v>1</v>
      </c>
      <c r="N50" s="289">
        <f t="shared" si="28"/>
        <v>8641.7140741911262</v>
      </c>
      <c r="O50" s="290">
        <f t="shared" si="29"/>
        <v>6538.3630250545357</v>
      </c>
      <c r="P50" s="290">
        <f t="shared" si="30"/>
        <v>6094.5995247194714</v>
      </c>
      <c r="Q50" s="290">
        <f t="shared" si="31"/>
        <v>10005.409359740794</v>
      </c>
      <c r="R50" s="290">
        <f t="shared" si="32"/>
        <v>9490.3975940038144</v>
      </c>
      <c r="S50" s="292">
        <f t="shared" si="33"/>
        <v>63290.474482404526</v>
      </c>
      <c r="T50" s="289">
        <f t="shared" si="34"/>
        <v>2103.3510491365905</v>
      </c>
      <c r="U50" s="290">
        <f t="shared" si="35"/>
        <v>2547.1145494716548</v>
      </c>
      <c r="V50" s="290">
        <f t="shared" si="36"/>
        <v>-1363.6952855496675</v>
      </c>
      <c r="W50" s="290">
        <f t="shared" si="37"/>
        <v>-848.68351981268825</v>
      </c>
      <c r="X50" s="292">
        <f t="shared" si="38"/>
        <v>-54648.760408213398</v>
      </c>
      <c r="Y50" s="293">
        <f ca="1">IF(AND(Y$22=TRUE,INDEX(CDRANGE_CLS2,MATCH($A50,$A$24:$A$67,0),MATCH(Y$20,$B$20:$G$20,0))&lt;$D$6/OPDAYS_Cls2),86,payback(C50,T50,disc_rate/12,85))</f>
        <v>6</v>
      </c>
      <c r="Z50" s="294">
        <f ca="1">IF(AND(Z$22=TRUE,INDEX(CDRANGE_CLS2,MATCH($A50,$A$24:$A$67,0),MATCH(Z$20,$B$20:$G$20,0))&lt;$D$6/OPDAYS_Cls2),86,payback(D50,U50,disc_rate/12,85))</f>
        <v>8</v>
      </c>
      <c r="AA50" s="294">
        <f>IF(AND(AA$22=TRUE,INDEX(CDRANGE_CLS2,MATCH($A50,$A$24:$A$67,0),MATCH(AA$20,$B$20:$G$20,0))&lt;$D$6/OPDAYS_Cls2),86,payback(E50,V50,disc_rate/12,85))</f>
        <v>86</v>
      </c>
      <c r="AB50" s="294">
        <f ca="1">IF(AND(AB$22=TRUE,INDEX(CDRANGE_CLS2,MATCH($A50,$A$24:$A$67,0),MATCH(AB$20,$B$20:$G$20,0))&lt;$D$6/OPDAYS_Cls2),86,payback(F50,W50,disc_rate/12,85))</f>
        <v>86</v>
      </c>
      <c r="AC50" s="295">
        <f ca="1">IF(AND(AC$22=TRUE,INDEX(CDRANGE_CLS2,MATCH($A50,$A$24:$A$67,0),MATCH(AC$20,$B$20:$G$20,0))&lt;$D$6/OPDAYS_Cls2),86,payback(G50,X50,disc_rate/12,85))</f>
        <v>86</v>
      </c>
      <c r="AD50" s="296">
        <f t="shared" si="39"/>
        <v>0</v>
      </c>
      <c r="AE50" s="297">
        <f t="shared" si="40"/>
        <v>0</v>
      </c>
      <c r="AF50" s="297">
        <f t="shared" si="41"/>
        <v>0</v>
      </c>
      <c r="AG50" s="297">
        <f t="shared" si="42"/>
        <v>0</v>
      </c>
      <c r="AH50" s="298">
        <f t="shared" si="43"/>
        <v>0</v>
      </c>
      <c r="AI50" s="299">
        <f t="shared" si="44"/>
        <v>0.49100689501895423</v>
      </c>
      <c r="AJ50" s="300">
        <f t="shared" si="45"/>
        <v>0.49100689501895423</v>
      </c>
      <c r="AK50" s="300">
        <f t="shared" si="46"/>
        <v>0.49100689501895423</v>
      </c>
      <c r="AL50" s="300">
        <f t="shared" si="47"/>
        <v>0.49100689501895423</v>
      </c>
      <c r="AM50" s="301">
        <f t="shared" si="48"/>
        <v>0</v>
      </c>
      <c r="AN50" s="299">
        <f t="shared" si="60"/>
        <v>0.98090585209353243</v>
      </c>
      <c r="AO50" s="300">
        <f t="shared" si="60"/>
        <v>0.95458644430301998</v>
      </c>
      <c r="AP50" s="300">
        <f t="shared" si="60"/>
        <v>4.7267007205376799E-2</v>
      </c>
      <c r="AQ50" s="300">
        <f t="shared" si="60"/>
        <v>0.51776851961525439</v>
      </c>
      <c r="AR50" s="598">
        <f t="shared" si="60"/>
        <v>0</v>
      </c>
      <c r="AS50" s="282">
        <f t="shared" ca="1" si="50"/>
        <v>0.98201379003790845</v>
      </c>
      <c r="AT50" s="283">
        <f t="shared" ca="1" si="51"/>
        <v>0.97086789425399456</v>
      </c>
      <c r="AU50" s="283">
        <f t="shared" si="52"/>
        <v>0</v>
      </c>
      <c r="AV50" s="283">
        <f t="shared" ca="1" si="53"/>
        <v>0</v>
      </c>
      <c r="AW50" s="284">
        <f t="shared" ca="1" si="54"/>
        <v>0</v>
      </c>
      <c r="AX50" s="296">
        <f t="shared" ca="1" si="55"/>
        <v>0.96326307348473383</v>
      </c>
      <c r="AY50" s="297">
        <f t="shared" ca="1" si="56"/>
        <v>0.92677733106388105</v>
      </c>
      <c r="AZ50" s="297">
        <f t="shared" si="57"/>
        <v>0</v>
      </c>
      <c r="BA50" s="283">
        <f t="shared" ca="1" si="61"/>
        <v>0</v>
      </c>
      <c r="BB50" s="284">
        <f t="shared" ca="1" si="62"/>
        <v>0</v>
      </c>
      <c r="BC50" s="282">
        <f t="shared" ca="1" si="63"/>
        <v>3.6736926515266166E-2</v>
      </c>
      <c r="BD50" s="283">
        <f t="shared" ca="1" si="64"/>
        <v>0.4909290544827552</v>
      </c>
      <c r="BE50" s="283">
        <f t="shared" ca="1" si="65"/>
        <v>0.47233401900197858</v>
      </c>
      <c r="BF50" s="283">
        <f t="shared" ca="1" si="66"/>
        <v>0</v>
      </c>
      <c r="BG50" s="283">
        <f t="shared" ca="1" si="67"/>
        <v>0</v>
      </c>
      <c r="BH50" s="284">
        <f t="shared" ca="1" si="68"/>
        <v>0</v>
      </c>
    </row>
    <row r="51" spans="1:60" x14ac:dyDescent="0.2">
      <c r="A51" s="317">
        <v>2034</v>
      </c>
      <c r="B51" s="820">
        <f t="shared" si="71"/>
        <v>139735.22</v>
      </c>
      <c r="C51" s="821">
        <f t="shared" si="71"/>
        <v>11678.01</v>
      </c>
      <c r="D51" s="821">
        <f t="shared" si="71"/>
        <v>18077.669999999998</v>
      </c>
      <c r="E51" s="821">
        <f t="shared" si="71"/>
        <v>141295.07999999999</v>
      </c>
      <c r="F51" s="821">
        <f t="shared" si="71"/>
        <v>67337.899999999994</v>
      </c>
      <c r="G51" s="822">
        <f t="shared" si="71"/>
        <v>1000000</v>
      </c>
      <c r="H51" s="983">
        <f t="shared" si="72"/>
        <v>1</v>
      </c>
      <c r="I51" s="984">
        <f t="shared" si="72"/>
        <v>1</v>
      </c>
      <c r="J51" s="984">
        <f t="shared" si="72"/>
        <v>1</v>
      </c>
      <c r="K51" s="984">
        <f t="shared" si="72"/>
        <v>1</v>
      </c>
      <c r="L51" s="984">
        <f t="shared" si="72"/>
        <v>1</v>
      </c>
      <c r="M51" s="985">
        <f t="shared" si="72"/>
        <v>1</v>
      </c>
      <c r="N51" s="289">
        <f t="shared" si="28"/>
        <v>8704.7374159062365</v>
      </c>
      <c r="O51" s="290">
        <f t="shared" si="29"/>
        <v>6545.2523835938791</v>
      </c>
      <c r="P51" s="290">
        <f t="shared" si="30"/>
        <v>6098.7127306192906</v>
      </c>
      <c r="Q51" s="290">
        <f t="shared" si="31"/>
        <v>9971.5490139570775</v>
      </c>
      <c r="R51" s="290">
        <f t="shared" si="32"/>
        <v>9252.2547875851942</v>
      </c>
      <c r="S51" s="292">
        <f t="shared" si="33"/>
        <v>63801.189007397064</v>
      </c>
      <c r="T51" s="289">
        <f t="shared" si="34"/>
        <v>2159.4850323123574</v>
      </c>
      <c r="U51" s="290">
        <f t="shared" si="35"/>
        <v>2606.0246852869459</v>
      </c>
      <c r="V51" s="290">
        <f t="shared" si="36"/>
        <v>-1266.811598050841</v>
      </c>
      <c r="W51" s="290">
        <f t="shared" si="37"/>
        <v>-547.51737167895772</v>
      </c>
      <c r="X51" s="292">
        <f t="shared" si="38"/>
        <v>-55096.451591490826</v>
      </c>
      <c r="Y51" s="293">
        <f ca="1">IF(AND(Y$22=TRUE,INDEX(CDRANGE_CLS2,MATCH($A51,$A$24:$A$67,0),MATCH(Y$20,$B$20:$G$20,0))&lt;$D$6/OPDAYS_Cls2),86,payback(C51,T51,disc_rate/12,85))</f>
        <v>6</v>
      </c>
      <c r="Z51" s="294">
        <f ca="1">IF(AND(Z$22=TRUE,INDEX(CDRANGE_CLS2,MATCH($A51,$A$24:$A$67,0),MATCH(Z$20,$B$20:$G$20,0))&lt;$D$6/OPDAYS_Cls2),86,payback(D51,U51,disc_rate/12,85))</f>
        <v>8</v>
      </c>
      <c r="AA51" s="294">
        <f>IF(AND(AA$22=TRUE,INDEX(CDRANGE_CLS2,MATCH($A51,$A$24:$A$67,0),MATCH(AA$20,$B$20:$G$20,0))&lt;$D$6/OPDAYS_Cls2),86,payback(E51,V51,disc_rate/12,85))</f>
        <v>86</v>
      </c>
      <c r="AB51" s="294">
        <f ca="1">IF(AND(AB$22=TRUE,INDEX(CDRANGE_CLS2,MATCH($A51,$A$24:$A$67,0),MATCH(AB$20,$B$20:$G$20,0))&lt;$D$6/OPDAYS_Cls2),86,payback(F51,W51,disc_rate/12,85))</f>
        <v>86</v>
      </c>
      <c r="AC51" s="295">
        <f ca="1">IF(AND(AC$22=TRUE,INDEX(CDRANGE_CLS2,MATCH($A51,$A$24:$A$67,0),MATCH(AC$20,$B$20:$G$20,0))&lt;$D$6/OPDAYS_Cls2),86,payback(G51,X51,disc_rate/12,85))</f>
        <v>86</v>
      </c>
      <c r="AD51" s="296">
        <f t="shared" si="39"/>
        <v>0</v>
      </c>
      <c r="AE51" s="297">
        <f t="shared" si="40"/>
        <v>0</v>
      </c>
      <c r="AF51" s="297">
        <f t="shared" si="41"/>
        <v>0</v>
      </c>
      <c r="AG51" s="297">
        <f t="shared" si="42"/>
        <v>0</v>
      </c>
      <c r="AH51" s="298">
        <f t="shared" si="43"/>
        <v>0</v>
      </c>
      <c r="AI51" s="299">
        <f t="shared" si="44"/>
        <v>0.49665357453785763</v>
      </c>
      <c r="AJ51" s="300">
        <f t="shared" si="45"/>
        <v>0.49665357453785763</v>
      </c>
      <c r="AK51" s="300">
        <f t="shared" si="46"/>
        <v>0.49665357453785763</v>
      </c>
      <c r="AL51" s="300">
        <f t="shared" si="47"/>
        <v>0.49665357453785763</v>
      </c>
      <c r="AM51" s="301">
        <f t="shared" si="48"/>
        <v>0</v>
      </c>
      <c r="AN51" s="299">
        <f t="shared" si="60"/>
        <v>0.98078601872772786</v>
      </c>
      <c r="AO51" s="300">
        <f t="shared" si="60"/>
        <v>0.95457297245629535</v>
      </c>
      <c r="AP51" s="300">
        <f t="shared" si="60"/>
        <v>5.8417462456590963E-2</v>
      </c>
      <c r="AQ51" s="300">
        <f t="shared" si="60"/>
        <v>0.52462735594756715</v>
      </c>
      <c r="AR51" s="598">
        <f t="shared" si="60"/>
        <v>0</v>
      </c>
      <c r="AS51" s="282">
        <f t="shared" ca="1" si="50"/>
        <v>0.99330714907571527</v>
      </c>
      <c r="AT51" s="283">
        <f t="shared" ca="1" si="51"/>
        <v>0.98203307321514388</v>
      </c>
      <c r="AU51" s="283">
        <f t="shared" si="52"/>
        <v>0</v>
      </c>
      <c r="AV51" s="283">
        <f t="shared" ca="1" si="53"/>
        <v>0</v>
      </c>
      <c r="AW51" s="284">
        <f t="shared" ca="1" si="54"/>
        <v>0</v>
      </c>
      <c r="AX51" s="296">
        <f t="shared" ca="1" si="55"/>
        <v>0.97422176411576045</v>
      </c>
      <c r="AY51" s="297">
        <f t="shared" ca="1" si="56"/>
        <v>0.93742222974937062</v>
      </c>
      <c r="AZ51" s="297">
        <f t="shared" si="57"/>
        <v>0</v>
      </c>
      <c r="BA51" s="283">
        <f t="shared" ca="1" si="61"/>
        <v>0</v>
      </c>
      <c r="BB51" s="284">
        <f t="shared" ca="1" si="62"/>
        <v>0</v>
      </c>
      <c r="BC51" s="282">
        <f t="shared" ca="1" si="63"/>
        <v>2.5778235884239553E-2</v>
      </c>
      <c r="BD51" s="283">
        <f t="shared" ca="1" si="64"/>
        <v>0.49648786527340472</v>
      </c>
      <c r="BE51" s="283">
        <f t="shared" ca="1" si="65"/>
        <v>0.47773389884235579</v>
      </c>
      <c r="BF51" s="283">
        <f t="shared" ca="1" si="66"/>
        <v>0</v>
      </c>
      <c r="BG51" s="283">
        <f t="shared" ca="1" si="67"/>
        <v>0</v>
      </c>
      <c r="BH51" s="284">
        <f t="shared" ca="1" si="68"/>
        <v>0</v>
      </c>
    </row>
    <row r="52" spans="1:60" ht="13.5" thickBot="1" x14ac:dyDescent="0.25">
      <c r="A52" s="302">
        <v>2035</v>
      </c>
      <c r="B52" s="823">
        <f t="shared" si="71"/>
        <v>139788.32999999999</v>
      </c>
      <c r="C52" s="824">
        <f t="shared" si="71"/>
        <v>11716.67</v>
      </c>
      <c r="D52" s="824">
        <f t="shared" si="71"/>
        <v>18086.669999999998</v>
      </c>
      <c r="E52" s="824">
        <f t="shared" si="71"/>
        <v>136498.67000000001</v>
      </c>
      <c r="F52" s="824">
        <f t="shared" si="71"/>
        <v>66721.67</v>
      </c>
      <c r="G52" s="825">
        <f t="shared" si="71"/>
        <v>1000000</v>
      </c>
      <c r="H52" s="977">
        <f t="shared" si="72"/>
        <v>1</v>
      </c>
      <c r="I52" s="978">
        <f t="shared" si="72"/>
        <v>1</v>
      </c>
      <c r="J52" s="978">
        <f t="shared" si="72"/>
        <v>1</v>
      </c>
      <c r="K52" s="978">
        <f t="shared" si="72"/>
        <v>1</v>
      </c>
      <c r="L52" s="978">
        <f t="shared" si="72"/>
        <v>1</v>
      </c>
      <c r="M52" s="979">
        <f t="shared" si="72"/>
        <v>1</v>
      </c>
      <c r="N52" s="303">
        <f t="shared" si="28"/>
        <v>8775.9685728176282</v>
      </c>
      <c r="O52" s="304">
        <f t="shared" si="29"/>
        <v>6561.105897110222</v>
      </c>
      <c r="P52" s="304">
        <f t="shared" si="30"/>
        <v>6111.3465846220051</v>
      </c>
      <c r="Q52" s="304">
        <f t="shared" si="31"/>
        <v>9828.2830697238387</v>
      </c>
      <c r="R52" s="304">
        <f t="shared" si="32"/>
        <v>9019.6446640802897</v>
      </c>
      <c r="S52" s="306">
        <f t="shared" si="33"/>
        <v>64372.845916456303</v>
      </c>
      <c r="T52" s="303">
        <f t="shared" si="34"/>
        <v>2214.8626757074062</v>
      </c>
      <c r="U52" s="304">
        <f t="shared" si="35"/>
        <v>2664.6219881956231</v>
      </c>
      <c r="V52" s="304">
        <f t="shared" si="36"/>
        <v>-1052.3144969062105</v>
      </c>
      <c r="W52" s="304">
        <f t="shared" si="37"/>
        <v>-243.67609126266143</v>
      </c>
      <c r="X52" s="306">
        <f t="shared" si="38"/>
        <v>-55596.877343638676</v>
      </c>
      <c r="Y52" s="307">
        <f ca="1">IF(AND(Y$22=TRUE,INDEX(CDRANGE_CLS2,MATCH($A52,$A$24:$A$67,0),MATCH(Y$20,$B$20:$G$20,0))&lt;$D$6/OPDAYS_Cls2),86,payback(C52,T52,disc_rate/12,85))</f>
        <v>6</v>
      </c>
      <c r="Z52" s="308">
        <f ca="1">IF(AND(Z$22=TRUE,INDEX(CDRANGE_CLS2,MATCH($A52,$A$24:$A$67,0),MATCH(Z$20,$B$20:$G$20,0))&lt;$D$6/OPDAYS_Cls2),86,payback(D52,U52,disc_rate/12,85))</f>
        <v>7</v>
      </c>
      <c r="AA52" s="308">
        <f>IF(AND(AA$22=TRUE,INDEX(CDRANGE_CLS2,MATCH($A52,$A$24:$A$67,0),MATCH(AA$20,$B$20:$G$20,0))&lt;$D$6/OPDAYS_Cls2),86,payback(E52,V52,disc_rate/12,85))</f>
        <v>86</v>
      </c>
      <c r="AB52" s="308">
        <f ca="1">IF(AND(AB$22=TRUE,INDEX(CDRANGE_CLS2,MATCH($A52,$A$24:$A$67,0),MATCH(AB$20,$B$20:$G$20,0))&lt;$D$6/OPDAYS_Cls2),86,payback(F52,W52,disc_rate/12,85))</f>
        <v>86</v>
      </c>
      <c r="AC52" s="309">
        <f ca="1">IF(AND(AC$22=TRUE,INDEX(CDRANGE_CLS2,MATCH($A52,$A$24:$A$67,0),MATCH(AC$20,$B$20:$G$20,0))&lt;$D$6/OPDAYS_Cls2),86,payback(G52,X52,disc_rate/12,85))</f>
        <v>86</v>
      </c>
      <c r="AD52" s="310">
        <f t="shared" si="39"/>
        <v>0</v>
      </c>
      <c r="AE52" s="311">
        <f t="shared" si="40"/>
        <v>0</v>
      </c>
      <c r="AF52" s="311">
        <f t="shared" si="41"/>
        <v>0</v>
      </c>
      <c r="AG52" s="311">
        <f t="shared" si="42"/>
        <v>0</v>
      </c>
      <c r="AH52" s="312">
        <f t="shared" si="43"/>
        <v>0</v>
      </c>
      <c r="AI52" s="313">
        <f t="shared" si="44"/>
        <v>0.49876368842168267</v>
      </c>
      <c r="AJ52" s="314">
        <f t="shared" si="45"/>
        <v>0.49876368842168267</v>
      </c>
      <c r="AK52" s="314">
        <f t="shared" si="46"/>
        <v>0.49876368842168267</v>
      </c>
      <c r="AL52" s="314">
        <f t="shared" si="47"/>
        <v>0.49876368842168267</v>
      </c>
      <c r="AM52" s="315">
        <f t="shared" si="48"/>
        <v>0</v>
      </c>
      <c r="AN52" s="313">
        <f t="shared" si="60"/>
        <v>0.98067438296085352</v>
      </c>
      <c r="AO52" s="314">
        <f t="shared" si="60"/>
        <v>0.9545625222715769</v>
      </c>
      <c r="AP52" s="314">
        <f t="shared" si="60"/>
        <v>7.0751863460562725E-2</v>
      </c>
      <c r="AQ52" s="314">
        <f t="shared" si="60"/>
        <v>0.53108482209511254</v>
      </c>
      <c r="AR52" s="599">
        <f t="shared" si="60"/>
        <v>0</v>
      </c>
      <c r="AS52" s="830">
        <f t="shared" ca="1" si="50"/>
        <v>0.99752737684336534</v>
      </c>
      <c r="AT52" s="831">
        <f t="shared" ca="1" si="51"/>
        <v>0.99426275444028267</v>
      </c>
      <c r="AU52" s="831">
        <f t="shared" si="52"/>
        <v>0</v>
      </c>
      <c r="AV52" s="831">
        <f t="shared" ca="1" si="53"/>
        <v>0</v>
      </c>
      <c r="AW52" s="832">
        <f t="shared" ca="1" si="54"/>
        <v>0</v>
      </c>
      <c r="AX52" s="310">
        <f t="shared" ca="1" si="55"/>
        <v>0.97824954477242609</v>
      </c>
      <c r="AY52" s="311">
        <f t="shared" ca="1" si="56"/>
        <v>0.94908596267920176</v>
      </c>
      <c r="AZ52" s="311">
        <f t="shared" si="57"/>
        <v>0</v>
      </c>
      <c r="BA52" s="311">
        <f t="shared" ca="1" si="61"/>
        <v>0</v>
      </c>
      <c r="BB52" s="312">
        <f t="shared" ca="1" si="62"/>
        <v>0</v>
      </c>
      <c r="BC52" s="310">
        <f t="shared" ca="1" si="63"/>
        <v>2.1750455227573795E-2</v>
      </c>
      <c r="BD52" s="311">
        <f t="shared" ca="1" si="64"/>
        <v>0.49652599049181217</v>
      </c>
      <c r="BE52" s="311">
        <f t="shared" ca="1" si="65"/>
        <v>0.48172355428061397</v>
      </c>
      <c r="BF52" s="311">
        <f t="shared" ca="1" si="66"/>
        <v>0</v>
      </c>
      <c r="BG52" s="311">
        <f t="shared" ca="1" si="67"/>
        <v>0</v>
      </c>
      <c r="BH52" s="312">
        <f t="shared" ca="1" si="68"/>
        <v>0</v>
      </c>
    </row>
    <row r="53" spans="1:60" x14ac:dyDescent="0.2">
      <c r="A53" s="316">
        <v>2036</v>
      </c>
      <c r="B53" s="826">
        <f t="shared" si="71"/>
        <v>139788.32999999999</v>
      </c>
      <c r="C53" s="827">
        <f t="shared" si="71"/>
        <v>11739.06</v>
      </c>
      <c r="D53" s="827">
        <f t="shared" si="71"/>
        <v>18025.259999999998</v>
      </c>
      <c r="E53" s="827">
        <f t="shared" si="71"/>
        <v>132232.88</v>
      </c>
      <c r="F53" s="827">
        <f t="shared" si="71"/>
        <v>65162.22</v>
      </c>
      <c r="G53" s="828">
        <f t="shared" si="71"/>
        <v>1000000</v>
      </c>
      <c r="H53" s="980">
        <f t="shared" si="72"/>
        <v>1</v>
      </c>
      <c r="I53" s="981">
        <f t="shared" si="72"/>
        <v>1</v>
      </c>
      <c r="J53" s="981">
        <f t="shared" si="72"/>
        <v>1</v>
      </c>
      <c r="K53" s="981">
        <f t="shared" si="72"/>
        <v>1</v>
      </c>
      <c r="L53" s="981">
        <f t="shared" si="72"/>
        <v>1</v>
      </c>
      <c r="M53" s="982">
        <f t="shared" si="72"/>
        <v>1</v>
      </c>
      <c r="N53" s="275">
        <f t="shared" si="28"/>
        <v>8864.5705808475886</v>
      </c>
      <c r="O53" s="276">
        <f t="shared" si="29"/>
        <v>6567.4072771548917</v>
      </c>
      <c r="P53" s="276">
        <f t="shared" si="30"/>
        <v>6087.5213306289488</v>
      </c>
      <c r="Q53" s="276">
        <f t="shared" si="31"/>
        <v>9620.1239491040869</v>
      </c>
      <c r="R53" s="276">
        <f t="shared" si="32"/>
        <v>8694.6344343600122</v>
      </c>
      <c r="S53" s="278">
        <f t="shared" si="33"/>
        <v>65026.442144000517</v>
      </c>
      <c r="T53" s="275">
        <f t="shared" si="34"/>
        <v>2297.1633036926969</v>
      </c>
      <c r="U53" s="276">
        <f t="shared" si="35"/>
        <v>2777.0492502186398</v>
      </c>
      <c r="V53" s="276">
        <f t="shared" si="36"/>
        <v>-755.55336825649829</v>
      </c>
      <c r="W53" s="276">
        <f t="shared" si="37"/>
        <v>169.93614648757648</v>
      </c>
      <c r="X53" s="278">
        <f t="shared" si="38"/>
        <v>-56161.871563152927</v>
      </c>
      <c r="Y53" s="279">
        <f ca="1">IF(AND(Y$22=TRUE,INDEX(CDRANGE_CLS2,MATCH($A53,$A$24:$A$67,0),MATCH(Y$20,$B$20:$G$20,0))&lt;$D$6/OPDAYS_Cls2),86,payback(C53,T53,disc_rate/12,85))</f>
        <v>6</v>
      </c>
      <c r="Z53" s="280">
        <f ca="1">IF(AND(Z$22=TRUE,INDEX(CDRANGE_CLS2,MATCH($A53,$A$24:$A$67,0),MATCH(Z$20,$B$20:$G$20,0))&lt;$D$6/OPDAYS_Cls2),86,payback(D53,U53,disc_rate/12,85))</f>
        <v>7</v>
      </c>
      <c r="AA53" s="280">
        <f>IF(AND(AA$22=TRUE,INDEX(CDRANGE_CLS2,MATCH($A53,$A$24:$A$67,0),MATCH(AA$20,$B$20:$G$20,0))&lt;$D$6/OPDAYS_Cls2),86,payback(E53,V53,disc_rate/12,85))</f>
        <v>86</v>
      </c>
      <c r="AB53" s="280">
        <f ca="1">IF(AND(AB$22=TRUE,INDEX(CDRANGE_CLS2,MATCH($A53,$A$24:$A$67,0),MATCH(AB$20,$B$20:$G$20,0))&lt;$D$6/OPDAYS_Cls2),86,payback(F53,W53,disc_rate/12,85))</f>
        <v>86</v>
      </c>
      <c r="AC53" s="281">
        <f ca="1">IF(AND(AC$22=TRUE,INDEX(CDRANGE_CLS2,MATCH($A53,$A$24:$A$67,0),MATCH(AC$20,$B$20:$G$20,0))&lt;$D$6/OPDAYS_Cls2),86,payback(G53,X53,disc_rate/12,85))</f>
        <v>86</v>
      </c>
      <c r="AD53" s="282">
        <f t="shared" si="39"/>
        <v>0</v>
      </c>
      <c r="AE53" s="283">
        <f t="shared" si="40"/>
        <v>0</v>
      </c>
      <c r="AF53" s="283">
        <f t="shared" si="41"/>
        <v>0</v>
      </c>
      <c r="AG53" s="283">
        <f t="shared" si="42"/>
        <v>0</v>
      </c>
      <c r="AH53" s="284">
        <f t="shared" si="43"/>
        <v>0</v>
      </c>
      <c r="AI53" s="285">
        <f t="shared" si="44"/>
        <v>0.4995444744027997</v>
      </c>
      <c r="AJ53" s="286">
        <f t="shared" si="45"/>
        <v>0.4995444744027997</v>
      </c>
      <c r="AK53" s="286">
        <f t="shared" si="46"/>
        <v>0.4995444744027997</v>
      </c>
      <c r="AL53" s="286">
        <f t="shared" si="47"/>
        <v>0.4995444744027997</v>
      </c>
      <c r="AM53" s="287">
        <f t="shared" si="48"/>
        <v>0</v>
      </c>
      <c r="AN53" s="285">
        <f t="shared" si="60"/>
        <v>0.98060117347895936</v>
      </c>
      <c r="AO53" s="286">
        <f t="shared" si="60"/>
        <v>0.95486348886912764</v>
      </c>
      <c r="AP53" s="286">
        <f t="shared" si="60"/>
        <v>8.3273982490678522E-2</v>
      </c>
      <c r="AQ53" s="286">
        <f t="shared" si="60"/>
        <v>0.54684085054550646</v>
      </c>
      <c r="AR53" s="611">
        <f t="shared" si="60"/>
        <v>0</v>
      </c>
      <c r="AS53" s="637">
        <f t="shared" ca="1" si="50"/>
        <v>0.9990889488055994</v>
      </c>
      <c r="AT53" s="638">
        <f t="shared" ca="1" si="51"/>
        <v>0.99581921582316801</v>
      </c>
      <c r="AU53" s="638">
        <f t="shared" si="52"/>
        <v>0</v>
      </c>
      <c r="AV53" s="638">
        <f t="shared" ca="1" si="53"/>
        <v>0</v>
      </c>
      <c r="AW53" s="639">
        <f t="shared" ca="1" si="54"/>
        <v>0</v>
      </c>
      <c r="AX53" s="282">
        <f t="shared" ca="1" si="55"/>
        <v>0.97970779560863075</v>
      </c>
      <c r="AY53" s="283">
        <f t="shared" ca="1" si="56"/>
        <v>0.95087141070382897</v>
      </c>
      <c r="AZ53" s="283">
        <f t="shared" si="57"/>
        <v>0</v>
      </c>
      <c r="BA53" s="283">
        <f t="shared" ca="1" si="61"/>
        <v>0</v>
      </c>
      <c r="BB53" s="284">
        <f t="shared" ca="1" si="62"/>
        <v>0</v>
      </c>
      <c r="BC53" s="282">
        <f t="shared" ca="1" si="63"/>
        <v>2.0292204391369362E-2</v>
      </c>
      <c r="BD53" s="283">
        <f t="shared" ca="1" si="64"/>
        <v>0.49717067377393931</v>
      </c>
      <c r="BE53" s="283">
        <f t="shared" ca="1" si="65"/>
        <v>0.48253712183469138</v>
      </c>
      <c r="BF53" s="283">
        <f t="shared" ca="1" si="66"/>
        <v>0</v>
      </c>
      <c r="BG53" s="283">
        <f t="shared" ca="1" si="67"/>
        <v>0</v>
      </c>
      <c r="BH53" s="284">
        <f t="shared" ca="1" si="68"/>
        <v>0</v>
      </c>
    </row>
    <row r="54" spans="1:60" x14ac:dyDescent="0.2">
      <c r="A54" s="317">
        <v>2037</v>
      </c>
      <c r="B54" s="820">
        <f t="shared" ref="B54:G67" si="73">ROUND(INDEX(COST_Cls2,$A54-($A$24-1),MATCH(B$20,TECHOPTS_Cls2,0)),2)</f>
        <v>139788.32999999999</v>
      </c>
      <c r="C54" s="821">
        <f t="shared" si="73"/>
        <v>11752.72</v>
      </c>
      <c r="D54" s="821">
        <f t="shared" si="73"/>
        <v>17987.82</v>
      </c>
      <c r="E54" s="821">
        <f t="shared" si="73"/>
        <v>129631.84</v>
      </c>
      <c r="F54" s="821">
        <f t="shared" si="73"/>
        <v>64211.37</v>
      </c>
      <c r="G54" s="822">
        <f t="shared" si="73"/>
        <v>1000000</v>
      </c>
      <c r="H54" s="983">
        <f t="shared" ref="H54:M67" si="74">IF(H$21="Single-fuel",1,1-MIN(INDEX(CDRANGE_CLS2,$A54-($A$24-1),MATCH(H$20,TECHOPTS_Cls2,0))*OPDAYS_Cls2/$D$6,1))</f>
        <v>1</v>
      </c>
      <c r="I54" s="984">
        <f t="shared" si="74"/>
        <v>1</v>
      </c>
      <c r="J54" s="984">
        <f t="shared" si="74"/>
        <v>1</v>
      </c>
      <c r="K54" s="984">
        <f t="shared" si="74"/>
        <v>1</v>
      </c>
      <c r="L54" s="984">
        <f t="shared" si="74"/>
        <v>1</v>
      </c>
      <c r="M54" s="985">
        <f t="shared" si="74"/>
        <v>1</v>
      </c>
      <c r="N54" s="289">
        <f t="shared" si="28"/>
        <v>8924.2992758282526</v>
      </c>
      <c r="O54" s="290">
        <f t="shared" si="29"/>
        <v>6575.5456813954461</v>
      </c>
      <c r="P54" s="290">
        <f t="shared" si="30"/>
        <v>6077.3390589749006</v>
      </c>
      <c r="Q54" s="290">
        <f t="shared" si="31"/>
        <v>9486.7711003259301</v>
      </c>
      <c r="R54" s="290">
        <f t="shared" si="32"/>
        <v>8430.4050967435523</v>
      </c>
      <c r="S54" s="292">
        <f t="shared" si="33"/>
        <v>65468.298662584006</v>
      </c>
      <c r="T54" s="289">
        <f t="shared" si="34"/>
        <v>2348.7535944328065</v>
      </c>
      <c r="U54" s="290">
        <f t="shared" si="35"/>
        <v>2846.960216853352</v>
      </c>
      <c r="V54" s="290">
        <f t="shared" si="36"/>
        <v>-562.47182449767752</v>
      </c>
      <c r="W54" s="290">
        <f t="shared" si="37"/>
        <v>493.89417908470023</v>
      </c>
      <c r="X54" s="292">
        <f t="shared" si="38"/>
        <v>-56543.99938675575</v>
      </c>
      <c r="Y54" s="293">
        <f ca="1">IF(AND(Y$22=TRUE,INDEX(CDRANGE_CLS2,MATCH($A54,$A$24:$A$67,0),MATCH(Y$20,$B$20:$G$20,0))&lt;$D$6/OPDAYS_Cls2),86,payback(C54,T54,disc_rate/12,85))</f>
        <v>6</v>
      </c>
      <c r="Z54" s="294">
        <f ca="1">IF(AND(Z$22=TRUE,INDEX(CDRANGE_CLS2,MATCH($A54,$A$24:$A$67,0),MATCH(Z$20,$B$20:$G$20,0))&lt;$D$6/OPDAYS_Cls2),86,payback(D54,U54,disc_rate/12,85))</f>
        <v>7</v>
      </c>
      <c r="AA54" s="294">
        <f>IF(AND(AA$22=TRUE,INDEX(CDRANGE_CLS2,MATCH($A54,$A$24:$A$67,0),MATCH(AA$20,$B$20:$G$20,0))&lt;$D$6/OPDAYS_Cls2),86,payback(E54,V54,disc_rate/12,85))</f>
        <v>86</v>
      </c>
      <c r="AB54" s="294">
        <f ca="1">IF(AND(AB$22=TRUE,INDEX(CDRANGE_CLS2,MATCH($A54,$A$24:$A$67,0),MATCH(AB$20,$B$20:$G$20,0))&lt;$D$6/OPDAYS_Cls2),86,payback(F54,W54,disc_rate/12,85))</f>
        <v>86</v>
      </c>
      <c r="AC54" s="295">
        <f ca="1">IF(AND(AC$22=TRUE,INDEX(CDRANGE_CLS2,MATCH($A54,$A$24:$A$67,0),MATCH(AC$20,$B$20:$G$20,0))&lt;$D$6/OPDAYS_Cls2),86,payback(G54,X54,disc_rate/12,85))</f>
        <v>86</v>
      </c>
      <c r="AD54" s="296">
        <f t="shared" si="39"/>
        <v>0</v>
      </c>
      <c r="AE54" s="297">
        <f t="shared" si="40"/>
        <v>0</v>
      </c>
      <c r="AF54" s="297">
        <f t="shared" si="41"/>
        <v>0</v>
      </c>
      <c r="AG54" s="297">
        <f t="shared" si="42"/>
        <v>0</v>
      </c>
      <c r="AH54" s="298">
        <f t="shared" si="43"/>
        <v>0</v>
      </c>
      <c r="AI54" s="299">
        <f t="shared" si="44"/>
        <v>0.49983232493476681</v>
      </c>
      <c r="AJ54" s="300">
        <f t="shared" si="45"/>
        <v>0.49983232493476681</v>
      </c>
      <c r="AK54" s="300">
        <f t="shared" si="46"/>
        <v>0.49983232493476681</v>
      </c>
      <c r="AL54" s="300">
        <f t="shared" si="47"/>
        <v>0.49983232493476681</v>
      </c>
      <c r="AM54" s="301">
        <f t="shared" si="48"/>
        <v>0</v>
      </c>
      <c r="AN54" s="299">
        <f t="shared" si="60"/>
        <v>0.98055644287175237</v>
      </c>
      <c r="AO54" s="300">
        <f t="shared" si="60"/>
        <v>0.95504652409543112</v>
      </c>
      <c r="AP54" s="300">
        <f t="shared" si="60"/>
        <v>9.1740085631973334E-2</v>
      </c>
      <c r="AQ54" s="300">
        <f t="shared" si="60"/>
        <v>0.55648751175608147</v>
      </c>
      <c r="AR54" s="598">
        <f t="shared" si="60"/>
        <v>0</v>
      </c>
      <c r="AS54" s="282">
        <f t="shared" ca="1" si="50"/>
        <v>0.99966464986953363</v>
      </c>
      <c r="AT54" s="283">
        <f t="shared" ca="1" si="51"/>
        <v>0.99639303278182911</v>
      </c>
      <c r="AU54" s="283">
        <f t="shared" si="52"/>
        <v>0</v>
      </c>
      <c r="AV54" s="283">
        <f t="shared" ca="1" si="53"/>
        <v>0</v>
      </c>
      <c r="AW54" s="284">
        <f t="shared" ca="1" si="54"/>
        <v>0</v>
      </c>
      <c r="AX54" s="296">
        <f t="shared" ca="1" si="55"/>
        <v>0.98022761314070572</v>
      </c>
      <c r="AY54" s="297">
        <f t="shared" ca="1" si="56"/>
        <v>0.95160170259119081</v>
      </c>
      <c r="AZ54" s="297">
        <f t="shared" si="57"/>
        <v>0</v>
      </c>
      <c r="BA54" s="283">
        <f t="shared" ca="1" si="61"/>
        <v>0</v>
      </c>
      <c r="BB54" s="284">
        <f t="shared" ca="1" si="62"/>
        <v>0</v>
      </c>
      <c r="BC54" s="282">
        <f t="shared" ca="1" si="63"/>
        <v>1.9772386859294278E-2</v>
      </c>
      <c r="BD54" s="283">
        <f t="shared" ca="1" si="64"/>
        <v>0.49737632912952096</v>
      </c>
      <c r="BE54" s="283">
        <f t="shared" ca="1" si="65"/>
        <v>0.48285128401118471</v>
      </c>
      <c r="BF54" s="283">
        <f t="shared" ca="1" si="66"/>
        <v>0</v>
      </c>
      <c r="BG54" s="283">
        <f t="shared" ca="1" si="67"/>
        <v>0</v>
      </c>
      <c r="BH54" s="284">
        <f t="shared" ca="1" si="68"/>
        <v>0</v>
      </c>
    </row>
    <row r="55" spans="1:60" x14ac:dyDescent="0.2">
      <c r="A55" s="317">
        <v>2038</v>
      </c>
      <c r="B55" s="820">
        <f t="shared" si="73"/>
        <v>139788.32999999999</v>
      </c>
      <c r="C55" s="821">
        <f t="shared" si="73"/>
        <v>11773.88</v>
      </c>
      <c r="D55" s="821">
        <f t="shared" si="73"/>
        <v>17929.82</v>
      </c>
      <c r="E55" s="821">
        <f t="shared" si="73"/>
        <v>125601.94</v>
      </c>
      <c r="F55" s="821">
        <f t="shared" si="73"/>
        <v>62738.16</v>
      </c>
      <c r="G55" s="822">
        <f t="shared" si="73"/>
        <v>1000000</v>
      </c>
      <c r="H55" s="983">
        <f t="shared" si="74"/>
        <v>1</v>
      </c>
      <c r="I55" s="984">
        <f t="shared" si="74"/>
        <v>1</v>
      </c>
      <c r="J55" s="984">
        <f t="shared" si="74"/>
        <v>1</v>
      </c>
      <c r="K55" s="984">
        <f t="shared" si="74"/>
        <v>1</v>
      </c>
      <c r="L55" s="984">
        <f t="shared" si="74"/>
        <v>1</v>
      </c>
      <c r="M55" s="985">
        <f t="shared" si="74"/>
        <v>1</v>
      </c>
      <c r="N55" s="289">
        <f t="shared" si="28"/>
        <v>8999.2086304907534</v>
      </c>
      <c r="O55" s="290">
        <f t="shared" si="29"/>
        <v>6574.9019670493026</v>
      </c>
      <c r="P55" s="290">
        <f t="shared" si="30"/>
        <v>6049.8642808291843</v>
      </c>
      <c r="Q55" s="290">
        <f t="shared" si="31"/>
        <v>9290.3912288020238</v>
      </c>
      <c r="R55" s="290">
        <f t="shared" si="32"/>
        <v>8129.2655766240396</v>
      </c>
      <c r="S55" s="292">
        <f t="shared" si="33"/>
        <v>66021.575920023271</v>
      </c>
      <c r="T55" s="289">
        <f t="shared" si="34"/>
        <v>2424.3066634414508</v>
      </c>
      <c r="U55" s="290">
        <f t="shared" si="35"/>
        <v>2949.3443496615691</v>
      </c>
      <c r="V55" s="290">
        <f t="shared" si="36"/>
        <v>-291.18259831127034</v>
      </c>
      <c r="W55" s="290">
        <f t="shared" si="37"/>
        <v>869.94305386671385</v>
      </c>
      <c r="X55" s="292">
        <f t="shared" si="38"/>
        <v>-57022.367289532514</v>
      </c>
      <c r="Y55" s="293">
        <f ca="1">IF(AND(Y$22=TRUE,INDEX(CDRANGE_CLS2,MATCH($A55,$A$24:$A$67,0),MATCH(Y$20,$B$20:$G$20,0))&lt;$D$6/OPDAYS_Cls2),86,payback(C55,T55,disc_rate/12,85))</f>
        <v>5</v>
      </c>
      <c r="Z55" s="294">
        <f ca="1">IF(AND(Z$22=TRUE,INDEX(CDRANGE_CLS2,MATCH($A55,$A$24:$A$67,0),MATCH(Z$20,$B$20:$G$20,0))&lt;$D$6/OPDAYS_Cls2),86,payback(D55,U55,disc_rate/12,85))</f>
        <v>7</v>
      </c>
      <c r="AA55" s="294">
        <f>IF(AND(AA$22=TRUE,INDEX(CDRANGE_CLS2,MATCH($A55,$A$24:$A$67,0),MATCH(AA$20,$B$20:$G$20,0))&lt;$D$6/OPDAYS_Cls2),86,payback(E55,V55,disc_rate/12,85))</f>
        <v>86</v>
      </c>
      <c r="AB55" s="294">
        <f ca="1">IF(AND(AB$22=TRUE,INDEX(CDRANGE_CLS2,MATCH($A55,$A$24:$A$67,0),MATCH(AB$20,$B$20:$G$20,0))&lt;$D$6/OPDAYS_Cls2),86,payback(F55,W55,disc_rate/12,85))</f>
        <v>86</v>
      </c>
      <c r="AC55" s="295">
        <f ca="1">IF(AND(AC$22=TRUE,INDEX(CDRANGE_CLS2,MATCH($A55,$A$24:$A$67,0),MATCH(AC$20,$B$20:$G$20,0))&lt;$D$6/OPDAYS_Cls2),86,payback(G55,X55,disc_rate/12,85))</f>
        <v>86</v>
      </c>
      <c r="AD55" s="296">
        <f t="shared" si="39"/>
        <v>0</v>
      </c>
      <c r="AE55" s="297">
        <f t="shared" si="40"/>
        <v>0</v>
      </c>
      <c r="AF55" s="297">
        <f t="shared" si="41"/>
        <v>0</v>
      </c>
      <c r="AG55" s="297">
        <f t="shared" si="42"/>
        <v>0</v>
      </c>
      <c r="AH55" s="298">
        <f t="shared" si="43"/>
        <v>0</v>
      </c>
      <c r="AI55" s="299">
        <f t="shared" si="44"/>
        <v>0.49993830271200684</v>
      </c>
      <c r="AJ55" s="300">
        <f t="shared" si="45"/>
        <v>0.49993830271200684</v>
      </c>
      <c r="AK55" s="300">
        <f t="shared" si="46"/>
        <v>0.49993830271200684</v>
      </c>
      <c r="AL55" s="300">
        <f t="shared" si="47"/>
        <v>0.49993830271200684</v>
      </c>
      <c r="AM55" s="301">
        <f t="shared" si="48"/>
        <v>0</v>
      </c>
      <c r="AN55" s="299">
        <f t="shared" si="60"/>
        <v>0.9804870543350479</v>
      </c>
      <c r="AO55" s="300">
        <f t="shared" si="60"/>
        <v>0.95532938979503956</v>
      </c>
      <c r="AP55" s="300">
        <f t="shared" si="60"/>
        <v>0.10618396721509527</v>
      </c>
      <c r="AQ55" s="300">
        <f t="shared" si="60"/>
        <v>0.57148065498924916</v>
      </c>
      <c r="AR55" s="598">
        <f t="shared" si="60"/>
        <v>0</v>
      </c>
      <c r="AS55" s="282">
        <f t="shared" ca="1" si="50"/>
        <v>0.99987660542401369</v>
      </c>
      <c r="AT55" s="283">
        <f t="shared" ca="1" si="51"/>
        <v>0.99660429466627287</v>
      </c>
      <c r="AU55" s="283">
        <f t="shared" si="52"/>
        <v>0</v>
      </c>
      <c r="AV55" s="283">
        <f t="shared" ca="1" si="53"/>
        <v>0</v>
      </c>
      <c r="AW55" s="284">
        <f t="shared" ca="1" si="54"/>
        <v>0</v>
      </c>
      <c r="AX55" s="296">
        <f t="shared" ca="1" si="55"/>
        <v>0.9803660675507182</v>
      </c>
      <c r="AY55" s="297">
        <f t="shared" ca="1" si="56"/>
        <v>0.9520853726906463</v>
      </c>
      <c r="AZ55" s="297">
        <f t="shared" si="57"/>
        <v>0</v>
      </c>
      <c r="BA55" s="283">
        <f t="shared" ca="1" si="61"/>
        <v>0</v>
      </c>
      <c r="BB55" s="284">
        <f t="shared" ca="1" si="62"/>
        <v>0</v>
      </c>
      <c r="BC55" s="282">
        <f t="shared" ca="1" si="63"/>
        <v>1.9633932449281688E-2</v>
      </c>
      <c r="BD55" s="283">
        <f t="shared" ca="1" si="64"/>
        <v>0.49735667680467832</v>
      </c>
      <c r="BE55" s="283">
        <f t="shared" ca="1" si="65"/>
        <v>0.48300939074603999</v>
      </c>
      <c r="BF55" s="283">
        <f t="shared" ca="1" si="66"/>
        <v>0</v>
      </c>
      <c r="BG55" s="283">
        <f t="shared" ca="1" si="67"/>
        <v>0</v>
      </c>
      <c r="BH55" s="284">
        <f t="shared" ca="1" si="68"/>
        <v>0</v>
      </c>
    </row>
    <row r="56" spans="1:60" x14ac:dyDescent="0.2">
      <c r="A56" s="317">
        <v>2039</v>
      </c>
      <c r="B56" s="820">
        <f t="shared" si="73"/>
        <v>139788.32999999999</v>
      </c>
      <c r="C56" s="821">
        <f t="shared" si="73"/>
        <v>11805.49</v>
      </c>
      <c r="D56" s="821">
        <f t="shared" si="73"/>
        <v>17843.13</v>
      </c>
      <c r="E56" s="821">
        <f t="shared" si="73"/>
        <v>119579.54</v>
      </c>
      <c r="F56" s="821">
        <f t="shared" si="73"/>
        <v>60536.55</v>
      </c>
      <c r="G56" s="822">
        <f t="shared" si="73"/>
        <v>1000000</v>
      </c>
      <c r="H56" s="983">
        <f t="shared" si="74"/>
        <v>1</v>
      </c>
      <c r="I56" s="984">
        <f t="shared" si="74"/>
        <v>1</v>
      </c>
      <c r="J56" s="984">
        <f t="shared" si="74"/>
        <v>1</v>
      </c>
      <c r="K56" s="984">
        <f t="shared" si="74"/>
        <v>1</v>
      </c>
      <c r="L56" s="984">
        <f t="shared" si="74"/>
        <v>1</v>
      </c>
      <c r="M56" s="985">
        <f t="shared" si="74"/>
        <v>1</v>
      </c>
      <c r="N56" s="289">
        <f t="shared" si="28"/>
        <v>9076.0082432056333</v>
      </c>
      <c r="O56" s="290">
        <f t="shared" si="29"/>
        <v>6548.4282159312306</v>
      </c>
      <c r="P56" s="290">
        <f t="shared" si="30"/>
        <v>5986.7558620374457</v>
      </c>
      <c r="Q56" s="290">
        <f t="shared" si="31"/>
        <v>8948.3567843844703</v>
      </c>
      <c r="R56" s="290">
        <f t="shared" si="32"/>
        <v>7781.9000136291388</v>
      </c>
      <c r="S56" s="292">
        <f t="shared" si="33"/>
        <v>66588.783958516899</v>
      </c>
      <c r="T56" s="289">
        <f t="shared" si="34"/>
        <v>2527.5800272744027</v>
      </c>
      <c r="U56" s="290">
        <f t="shared" si="35"/>
        <v>3089.2523811681876</v>
      </c>
      <c r="V56" s="290">
        <f t="shared" si="36"/>
        <v>127.65145882116303</v>
      </c>
      <c r="W56" s="290">
        <f t="shared" si="37"/>
        <v>1294.1082295764945</v>
      </c>
      <c r="X56" s="292">
        <f t="shared" si="38"/>
        <v>-57512.775715311262</v>
      </c>
      <c r="Y56" s="293">
        <f ca="1">IF(AND(Y$22=TRUE,INDEX(CDRANGE_CLS2,MATCH($A56,$A$24:$A$67,0),MATCH(Y$20,$B$20:$G$20,0))&lt;$D$6/OPDAYS_Cls2),86,payback(C56,T56,disc_rate/12,85))</f>
        <v>5</v>
      </c>
      <c r="Z56" s="294">
        <f ca="1">IF(AND(Z$22=TRUE,INDEX(CDRANGE_CLS2,MATCH($A56,$A$24:$A$67,0),MATCH(Z$20,$B$20:$G$20,0))&lt;$D$6/OPDAYS_Cls2),86,payback(D56,U56,disc_rate/12,85))</f>
        <v>6</v>
      </c>
      <c r="AA56" s="294">
        <f>IF(AND(AA$22=TRUE,INDEX(CDRANGE_CLS2,MATCH($A56,$A$24:$A$67,0),MATCH(AA$20,$B$20:$G$20,0))&lt;$D$6/OPDAYS_Cls2),86,payback(E56,V56,disc_rate/12,85))</f>
        <v>86</v>
      </c>
      <c r="AB56" s="294">
        <f ca="1">IF(AND(AB$22=TRUE,INDEX(CDRANGE_CLS2,MATCH($A56,$A$24:$A$67,0),MATCH(AB$20,$B$20:$G$20,0))&lt;$D$6/OPDAYS_Cls2),86,payback(F56,W56,disc_rate/12,85))</f>
        <v>56</v>
      </c>
      <c r="AC56" s="295">
        <f ca="1">IF(AND(AC$22=TRUE,INDEX(CDRANGE_CLS2,MATCH($A56,$A$24:$A$67,0),MATCH(AC$20,$B$20:$G$20,0))&lt;$D$6/OPDAYS_Cls2),86,payback(G56,X56,disc_rate/12,85))</f>
        <v>86</v>
      </c>
      <c r="AD56" s="296">
        <f t="shared" si="39"/>
        <v>0</v>
      </c>
      <c r="AE56" s="297">
        <f t="shared" si="40"/>
        <v>0</v>
      </c>
      <c r="AF56" s="297">
        <f t="shared" si="41"/>
        <v>0</v>
      </c>
      <c r="AG56" s="297">
        <f t="shared" si="42"/>
        <v>0</v>
      </c>
      <c r="AH56" s="298">
        <f t="shared" si="43"/>
        <v>0</v>
      </c>
      <c r="AI56" s="299">
        <f t="shared" si="44"/>
        <v>0.4999773010656488</v>
      </c>
      <c r="AJ56" s="300">
        <f t="shared" si="45"/>
        <v>0.4999773010656488</v>
      </c>
      <c r="AK56" s="300">
        <f t="shared" si="46"/>
        <v>0.4999773010656488</v>
      </c>
      <c r="AL56" s="300">
        <f t="shared" si="47"/>
        <v>0.4999773010656488</v>
      </c>
      <c r="AM56" s="301">
        <f t="shared" si="48"/>
        <v>0</v>
      </c>
      <c r="AN56" s="299">
        <f t="shared" si="60"/>
        <v>0.98038317450844215</v>
      </c>
      <c r="AO56" s="300">
        <f t="shared" si="60"/>
        <v>0.95575062852389414</v>
      </c>
      <c r="AP56" s="300">
        <f t="shared" si="60"/>
        <v>0.13098376248778609</v>
      </c>
      <c r="AQ56" s="300">
        <f t="shared" si="60"/>
        <v>0.59395961447160117</v>
      </c>
      <c r="AR56" s="598">
        <f t="shared" si="60"/>
        <v>0</v>
      </c>
      <c r="AS56" s="282">
        <f t="shared" ca="1" si="50"/>
        <v>0.99995460213129761</v>
      </c>
      <c r="AT56" s="283">
        <f t="shared" ca="1" si="51"/>
        <v>0.99995460213129761</v>
      </c>
      <c r="AU56" s="283">
        <f t="shared" si="52"/>
        <v>0</v>
      </c>
      <c r="AV56" s="283">
        <f t="shared" ca="1" si="53"/>
        <v>2.3570634765114139E-2</v>
      </c>
      <c r="AW56" s="284">
        <f t="shared" ca="1" si="54"/>
        <v>0</v>
      </c>
      <c r="AX56" s="296">
        <f t="shared" ca="1" si="55"/>
        <v>0.98033866720180773</v>
      </c>
      <c r="AY56" s="297">
        <f t="shared" ca="1" si="56"/>
        <v>0.95570723948234815</v>
      </c>
      <c r="AZ56" s="297">
        <f t="shared" si="57"/>
        <v>0</v>
      </c>
      <c r="BA56" s="283">
        <f t="shared" ca="1" si="61"/>
        <v>1.4000005137938113E-2</v>
      </c>
      <c r="BB56" s="284">
        <f t="shared" ca="1" si="62"/>
        <v>0</v>
      </c>
      <c r="BC56" s="282">
        <f t="shared" ca="1" si="63"/>
        <v>1.9661332798192377E-2</v>
      </c>
      <c r="BD56" s="283">
        <f t="shared" ca="1" si="64"/>
        <v>0.49284167956487385</v>
      </c>
      <c r="BE56" s="283">
        <f t="shared" ca="1" si="65"/>
        <v>0.48045882187143113</v>
      </c>
      <c r="BF56" s="283">
        <f t="shared" ca="1" si="66"/>
        <v>0</v>
      </c>
      <c r="BG56" s="283">
        <f t="shared" ca="1" si="67"/>
        <v>7.038165765502675E-3</v>
      </c>
      <c r="BH56" s="284">
        <f t="shared" ca="1" si="68"/>
        <v>0</v>
      </c>
    </row>
    <row r="57" spans="1:60" ht="13.5" thickBot="1" x14ac:dyDescent="0.25">
      <c r="A57" s="302">
        <v>2040</v>
      </c>
      <c r="B57" s="814">
        <f t="shared" si="73"/>
        <v>139788.32999999999</v>
      </c>
      <c r="C57" s="815">
        <f t="shared" si="73"/>
        <v>11850.29</v>
      </c>
      <c r="D57" s="815">
        <f t="shared" si="73"/>
        <v>17720.32</v>
      </c>
      <c r="E57" s="815">
        <f t="shared" si="73"/>
        <v>111048.05</v>
      </c>
      <c r="F57" s="815">
        <f t="shared" si="73"/>
        <v>57417.7</v>
      </c>
      <c r="G57" s="816">
        <f t="shared" si="73"/>
        <v>1000000</v>
      </c>
      <c r="H57" s="977">
        <f t="shared" si="74"/>
        <v>1</v>
      </c>
      <c r="I57" s="978">
        <f t="shared" si="74"/>
        <v>1</v>
      </c>
      <c r="J57" s="978">
        <f t="shared" si="74"/>
        <v>1</v>
      </c>
      <c r="K57" s="978">
        <f t="shared" si="74"/>
        <v>1</v>
      </c>
      <c r="L57" s="978">
        <f t="shared" si="74"/>
        <v>1</v>
      </c>
      <c r="M57" s="979">
        <f t="shared" si="74"/>
        <v>1</v>
      </c>
      <c r="N57" s="303">
        <f t="shared" si="28"/>
        <v>9075.8967414753406</v>
      </c>
      <c r="O57" s="304">
        <f t="shared" si="29"/>
        <v>6434.6815379167074</v>
      </c>
      <c r="P57" s="304">
        <f t="shared" si="30"/>
        <v>5831.2210415393165</v>
      </c>
      <c r="Q57" s="304">
        <f t="shared" si="31"/>
        <v>8431.9150569524663</v>
      </c>
      <c r="R57" s="304">
        <f t="shared" si="32"/>
        <v>7385.2238061167764</v>
      </c>
      <c r="S57" s="306">
        <f t="shared" si="33"/>
        <v>66591.743069672943</v>
      </c>
      <c r="T57" s="303">
        <f t="shared" si="34"/>
        <v>2641.2152035586332</v>
      </c>
      <c r="U57" s="304">
        <f t="shared" si="35"/>
        <v>3244.6756999360241</v>
      </c>
      <c r="V57" s="304">
        <f t="shared" si="36"/>
        <v>643.98168452287427</v>
      </c>
      <c r="W57" s="304">
        <f t="shared" si="37"/>
        <v>1690.6729353585642</v>
      </c>
      <c r="X57" s="306">
        <f t="shared" si="38"/>
        <v>-57515.8463281976</v>
      </c>
      <c r="Y57" s="307">
        <f ca="1">IF(AND(Y$22=TRUE,INDEX(CDRANGE_CLS2,MATCH($A57,$A$24:$A$67,0),MATCH(Y$20,$B$20:$G$20,0))&lt;$D$6/OPDAYS_Cls2),86,payback(C57,T57,disc_rate/12,85))</f>
        <v>5</v>
      </c>
      <c r="Z57" s="308">
        <f ca="1">IF(AND(Z$22=TRUE,INDEX(CDRANGE_CLS2,MATCH($A57,$A$24:$A$67,0),MATCH(Z$20,$B$20:$G$20,0))&lt;$D$6/OPDAYS_Cls2),86,payback(D57,U57,disc_rate/12,85))</f>
        <v>6</v>
      </c>
      <c r="AA57" s="308">
        <f>IF(AND(AA$22=TRUE,INDEX(CDRANGE_CLS2,MATCH($A57,$A$24:$A$67,0),MATCH(AA$20,$B$20:$G$20,0))&lt;$D$6/OPDAYS_Cls2),86,payback(E57,V57,disc_rate/12,85))</f>
        <v>86</v>
      </c>
      <c r="AB57" s="308">
        <f ca="1">IF(AND(AB$22=TRUE,INDEX(CDRANGE_CLS2,MATCH($A57,$A$24:$A$67,0),MATCH(AB$20,$B$20:$G$20,0))&lt;$D$6/OPDAYS_Cls2),86,payback(F57,W57,disc_rate/12,85))</f>
        <v>39</v>
      </c>
      <c r="AC57" s="309">
        <f ca="1">IF(AND(AC$22=TRUE,INDEX(CDRANGE_CLS2,MATCH($A57,$A$24:$A$67,0),MATCH(AC$20,$B$20:$G$20,0))&lt;$D$6/OPDAYS_Cls2),86,payback(G57,X57,disc_rate/12,85))</f>
        <v>86</v>
      </c>
      <c r="AD57" s="310">
        <f t="shared" si="39"/>
        <v>0</v>
      </c>
      <c r="AE57" s="311">
        <f t="shared" si="40"/>
        <v>0</v>
      </c>
      <c r="AF57" s="311">
        <f t="shared" si="41"/>
        <v>0</v>
      </c>
      <c r="AG57" s="311">
        <f t="shared" si="42"/>
        <v>0</v>
      </c>
      <c r="AH57" s="312">
        <f t="shared" si="43"/>
        <v>0</v>
      </c>
      <c r="AI57" s="313">
        <f t="shared" si="44"/>
        <v>0.49999164928907602</v>
      </c>
      <c r="AJ57" s="314">
        <f t="shared" si="45"/>
        <v>0.49999164928907602</v>
      </c>
      <c r="AK57" s="314">
        <f t="shared" si="46"/>
        <v>0.49999164928907602</v>
      </c>
      <c r="AL57" s="314">
        <f t="shared" si="47"/>
        <v>0.49999164928907602</v>
      </c>
      <c r="AM57" s="315">
        <f t="shared" si="48"/>
        <v>0</v>
      </c>
      <c r="AN57" s="630">
        <f t="shared" si="60"/>
        <v>0.9802354902900251</v>
      </c>
      <c r="AO57" s="628">
        <f t="shared" si="60"/>
        <v>0.95634419955840433</v>
      </c>
      <c r="AP57" s="628">
        <f t="shared" si="60"/>
        <v>0.17325646340920442</v>
      </c>
      <c r="AQ57" s="628">
        <f t="shared" si="60"/>
        <v>0.62584751744261291</v>
      </c>
      <c r="AR57" s="629">
        <f t="shared" si="60"/>
        <v>0</v>
      </c>
      <c r="AS57" s="319">
        <f t="shared" ca="1" si="50"/>
        <v>0.99998329857815205</v>
      </c>
      <c r="AT57" s="320">
        <f t="shared" ca="1" si="51"/>
        <v>0.99998329857815205</v>
      </c>
      <c r="AU57" s="320">
        <f t="shared" si="52"/>
        <v>0</v>
      </c>
      <c r="AV57" s="320">
        <f t="shared" ca="1" si="53"/>
        <v>0.16965625403151388</v>
      </c>
      <c r="AW57" s="321">
        <f t="shared" ca="1" si="54"/>
        <v>0</v>
      </c>
      <c r="AX57" s="310">
        <f t="shared" ca="1" si="55"/>
        <v>0.98021911896359148</v>
      </c>
      <c r="AY57" s="311">
        <f t="shared" ca="1" si="56"/>
        <v>0.95632822725049571</v>
      </c>
      <c r="AZ57" s="311">
        <f t="shared" si="57"/>
        <v>0</v>
      </c>
      <c r="BA57" s="311">
        <f t="shared" ca="1" si="61"/>
        <v>0.10617894540423625</v>
      </c>
      <c r="BB57" s="312">
        <f t="shared" ca="1" si="62"/>
        <v>0</v>
      </c>
      <c r="BC57" s="310">
        <f t="shared" ca="1" si="63"/>
        <v>1.9780881036408626E-2</v>
      </c>
      <c r="BD57" s="311">
        <f t="shared" ca="1" si="64"/>
        <v>0.47036625764509782</v>
      </c>
      <c r="BE57" s="311">
        <f t="shared" ca="1" si="65"/>
        <v>0.45890201550832455</v>
      </c>
      <c r="BF57" s="311">
        <f t="shared" ca="1" si="66"/>
        <v>0</v>
      </c>
      <c r="BG57" s="311">
        <f t="shared" ca="1" si="67"/>
        <v>5.0950845810169107E-2</v>
      </c>
      <c r="BH57" s="312">
        <f t="shared" ca="1" si="68"/>
        <v>0</v>
      </c>
    </row>
    <row r="58" spans="1:60" x14ac:dyDescent="0.2">
      <c r="A58" s="316">
        <v>2041</v>
      </c>
      <c r="B58" s="817">
        <f t="shared" si="73"/>
        <v>139788.32999999999</v>
      </c>
      <c r="C58" s="818">
        <f t="shared" si="73"/>
        <v>11909.16</v>
      </c>
      <c r="D58" s="818">
        <f t="shared" si="73"/>
        <v>17558.919999999998</v>
      </c>
      <c r="E58" s="818">
        <f t="shared" si="73"/>
        <v>99834.57</v>
      </c>
      <c r="F58" s="818">
        <f t="shared" si="73"/>
        <v>53318.39</v>
      </c>
      <c r="G58" s="819">
        <f t="shared" si="73"/>
        <v>1000000</v>
      </c>
      <c r="H58" s="980">
        <f t="shared" si="74"/>
        <v>1</v>
      </c>
      <c r="I58" s="981">
        <f t="shared" si="74"/>
        <v>1</v>
      </c>
      <c r="J58" s="981">
        <f t="shared" si="74"/>
        <v>1</v>
      </c>
      <c r="K58" s="981">
        <f t="shared" si="74"/>
        <v>1</v>
      </c>
      <c r="L58" s="981">
        <f t="shared" si="74"/>
        <v>1</v>
      </c>
      <c r="M58" s="982">
        <f t="shared" si="74"/>
        <v>1</v>
      </c>
      <c r="N58" s="275">
        <f t="shared" si="28"/>
        <v>9133.4082858214406</v>
      </c>
      <c r="O58" s="276">
        <f t="shared" si="29"/>
        <v>6330.9215926517109</v>
      </c>
      <c r="P58" s="276">
        <f t="shared" si="30"/>
        <v>5674.4179467104104</v>
      </c>
      <c r="Q58" s="276">
        <f t="shared" si="31"/>
        <v>7735.9844841152526</v>
      </c>
      <c r="R58" s="276">
        <f t="shared" si="32"/>
        <v>6949.2419413603102</v>
      </c>
      <c r="S58" s="278">
        <f t="shared" si="33"/>
        <v>67017.518349698177</v>
      </c>
      <c r="T58" s="275">
        <f t="shared" si="34"/>
        <v>2802.4866931697297</v>
      </c>
      <c r="U58" s="276">
        <f t="shared" si="35"/>
        <v>3458.9903391110302</v>
      </c>
      <c r="V58" s="276">
        <f t="shared" si="36"/>
        <v>1397.423801706188</v>
      </c>
      <c r="W58" s="276">
        <f t="shared" si="37"/>
        <v>2184.1663444611304</v>
      </c>
      <c r="X58" s="278">
        <f t="shared" si="38"/>
        <v>-57884.110063876738</v>
      </c>
      <c r="Y58" s="279">
        <f ca="1">IF(AND(Y$22=TRUE,INDEX(CDRANGE_CLS2,MATCH($A58,$A$24:$A$67,0),MATCH(Y$20,$B$20:$G$20,0))&lt;$D$6/OPDAYS_Cls2),86,payback(C58,T58,disc_rate/12,85))</f>
        <v>5</v>
      </c>
      <c r="Z58" s="280">
        <f ca="1">IF(AND(Z$22=TRUE,INDEX(CDRANGE_CLS2,MATCH($A58,$A$24:$A$67,0),MATCH(Z$20,$B$20:$G$20,0))&lt;$D$6/OPDAYS_Cls2),86,payback(D58,U58,disc_rate/12,85))</f>
        <v>6</v>
      </c>
      <c r="AA58" s="280">
        <f>IF(AND(AA$22=TRUE,INDEX(CDRANGE_CLS2,MATCH($A58,$A$24:$A$67,0),MATCH(AA$20,$B$20:$G$20,0))&lt;$D$6/OPDAYS_Cls2),86,payback(E58,V58,disc_rate/12,85))</f>
        <v>86</v>
      </c>
      <c r="AB58" s="280">
        <f ca="1">IF(AND(AB$22=TRUE,INDEX(CDRANGE_CLS2,MATCH($A58,$A$24:$A$67,0),MATCH(AB$20,$B$20:$G$20,0))&lt;$D$6/OPDAYS_Cls2),86,payback(F58,W58,disc_rate/12,85))</f>
        <v>27</v>
      </c>
      <c r="AC58" s="281">
        <f ca="1">IF(AND(AC$22=TRUE,INDEX(CDRANGE_CLS2,MATCH($A58,$A$24:$A$67,0),MATCH(AC$20,$B$20:$G$20,0))&lt;$D$6/OPDAYS_Cls2),86,payback(G58,X58,disc_rate/12,85))</f>
        <v>86</v>
      </c>
      <c r="AD58" s="282">
        <f t="shared" si="39"/>
        <v>0</v>
      </c>
      <c r="AE58" s="283">
        <f t="shared" si="40"/>
        <v>0</v>
      </c>
      <c r="AF58" s="283">
        <f t="shared" si="41"/>
        <v>0</v>
      </c>
      <c r="AG58" s="283">
        <f t="shared" si="42"/>
        <v>0</v>
      </c>
      <c r="AH58" s="284">
        <f t="shared" si="43"/>
        <v>0</v>
      </c>
      <c r="AI58" s="285">
        <f t="shared" si="44"/>
        <v>0.4999969279126989</v>
      </c>
      <c r="AJ58" s="286">
        <f t="shared" si="45"/>
        <v>0.4999969279126989</v>
      </c>
      <c r="AK58" s="286">
        <f t="shared" si="46"/>
        <v>0.4999969279126989</v>
      </c>
      <c r="AL58" s="286">
        <f t="shared" si="47"/>
        <v>0.4999969279126989</v>
      </c>
      <c r="AM58" s="287">
        <f t="shared" si="48"/>
        <v>0</v>
      </c>
      <c r="AN58" s="643">
        <f t="shared" si="60"/>
        <v>0.98004060757006739</v>
      </c>
      <c r="AO58" s="641">
        <f t="shared" si="60"/>
        <v>0.95711860504708568</v>
      </c>
      <c r="AP58" s="641">
        <f t="shared" si="60"/>
        <v>0.24248160413647157</v>
      </c>
      <c r="AQ58" s="641">
        <f t="shared" si="60"/>
        <v>0.66756439652322963</v>
      </c>
      <c r="AR58" s="642">
        <f t="shared" si="60"/>
        <v>0</v>
      </c>
      <c r="AS58" s="282">
        <f t="shared" ca="1" si="50"/>
        <v>0.99999385582539779</v>
      </c>
      <c r="AT58" s="283">
        <f t="shared" ca="1" si="51"/>
        <v>0.99999385582539779</v>
      </c>
      <c r="AU58" s="283">
        <f t="shared" si="52"/>
        <v>0</v>
      </c>
      <c r="AV58" s="283">
        <f t="shared" ca="1" si="53"/>
        <v>0.45550270802882226</v>
      </c>
      <c r="AW58" s="284">
        <f t="shared" ca="1" si="54"/>
        <v>0</v>
      </c>
      <c r="AX58" s="282">
        <f t="shared" ca="1" si="55"/>
        <v>0.98003458602945726</v>
      </c>
      <c r="AY58" s="283">
        <f t="shared" ca="1" si="56"/>
        <v>0.95711272434326122</v>
      </c>
      <c r="AZ58" s="283">
        <f t="shared" si="57"/>
        <v>0</v>
      </c>
      <c r="BA58" s="283">
        <f t="shared" ca="1" si="61"/>
        <v>0.30407739039995757</v>
      </c>
      <c r="BB58" s="284">
        <f t="shared" ca="1" si="62"/>
        <v>0</v>
      </c>
      <c r="BC58" s="282">
        <f t="shared" ca="1" si="63"/>
        <v>1.9965413970542634E-2</v>
      </c>
      <c r="BD58" s="283">
        <f t="shared" ca="1" si="64"/>
        <v>0.42854595948492025</v>
      </c>
      <c r="BE58" s="283">
        <f t="shared" ca="1" si="65"/>
        <v>0.41852277117144548</v>
      </c>
      <c r="BF58" s="283">
        <f t="shared" ca="1" si="66"/>
        <v>0</v>
      </c>
      <c r="BG58" s="283">
        <f t="shared" ca="1" si="67"/>
        <v>0.13296585537309155</v>
      </c>
      <c r="BH58" s="284">
        <f t="shared" ca="1" si="68"/>
        <v>0</v>
      </c>
    </row>
    <row r="59" spans="1:60" x14ac:dyDescent="0.2">
      <c r="A59" s="317">
        <v>2042</v>
      </c>
      <c r="B59" s="820">
        <f t="shared" si="73"/>
        <v>139788.32999999999</v>
      </c>
      <c r="C59" s="821">
        <f t="shared" si="73"/>
        <v>11979.36</v>
      </c>
      <c r="D59" s="821">
        <f t="shared" si="73"/>
        <v>17366.45</v>
      </c>
      <c r="E59" s="821">
        <f t="shared" si="73"/>
        <v>86463.32</v>
      </c>
      <c r="F59" s="821">
        <f t="shared" si="73"/>
        <v>48430.28</v>
      </c>
      <c r="G59" s="822">
        <f t="shared" si="73"/>
        <v>1000000</v>
      </c>
      <c r="H59" s="983">
        <f t="shared" si="74"/>
        <v>1</v>
      </c>
      <c r="I59" s="984">
        <f t="shared" si="74"/>
        <v>1</v>
      </c>
      <c r="J59" s="984">
        <f t="shared" si="74"/>
        <v>1</v>
      </c>
      <c r="K59" s="984">
        <f t="shared" si="74"/>
        <v>1</v>
      </c>
      <c r="L59" s="984">
        <f t="shared" si="74"/>
        <v>1</v>
      </c>
      <c r="M59" s="985">
        <f t="shared" si="74"/>
        <v>1</v>
      </c>
      <c r="N59" s="289">
        <f t="shared" si="28"/>
        <v>9266.4964026638736</v>
      </c>
      <c r="O59" s="290">
        <f t="shared" si="29"/>
        <v>6256.6015672243166</v>
      </c>
      <c r="P59" s="290">
        <f t="shared" si="30"/>
        <v>5538.99046335203</v>
      </c>
      <c r="Q59" s="290">
        <f t="shared" si="31"/>
        <v>6891.3138999753437</v>
      </c>
      <c r="R59" s="290">
        <f t="shared" si="32"/>
        <v>6499.813761742761</v>
      </c>
      <c r="S59" s="292">
        <f t="shared" si="33"/>
        <v>67997.92544580398</v>
      </c>
      <c r="T59" s="289">
        <f t="shared" si="34"/>
        <v>3009.894835439557</v>
      </c>
      <c r="U59" s="290">
        <f t="shared" si="35"/>
        <v>3727.5059393118436</v>
      </c>
      <c r="V59" s="290">
        <f t="shared" si="36"/>
        <v>2375.1825026885299</v>
      </c>
      <c r="W59" s="290">
        <f t="shared" si="37"/>
        <v>2766.6826409211126</v>
      </c>
      <c r="X59" s="292">
        <f t="shared" si="38"/>
        <v>-58731.429043140102</v>
      </c>
      <c r="Y59" s="293">
        <f ca="1">IF(AND(Y$22=TRUE,INDEX(CDRANGE_CLS2,MATCH($A59,$A$24:$A$67,0),MATCH(Y$20,$B$20:$G$20,0))&lt;$D$6/OPDAYS_Cls2),86,payback(C59,T59,disc_rate/12,85))</f>
        <v>5</v>
      </c>
      <c r="Z59" s="294">
        <f ca="1">IF(AND(Z$22=TRUE,INDEX(CDRANGE_CLS2,MATCH($A59,$A$24:$A$67,0),MATCH(Z$20,$B$20:$G$20,0))&lt;$D$6/OPDAYS_Cls2),86,payback(D59,U59,disc_rate/12,85))</f>
        <v>5</v>
      </c>
      <c r="AA59" s="294">
        <f>IF(AND(AA$22=TRUE,INDEX(CDRANGE_CLS2,MATCH($A59,$A$24:$A$67,0),MATCH(AA$20,$B$20:$G$20,0))&lt;$D$6/OPDAYS_Cls2),86,payback(E59,V59,disc_rate/12,85))</f>
        <v>86</v>
      </c>
      <c r="AB59" s="294">
        <f ca="1">IF(AND(AB$22=TRUE,INDEX(CDRANGE_CLS2,MATCH($A59,$A$24:$A$67,0),MATCH(AB$20,$B$20:$G$20,0))&lt;$D$6/OPDAYS_Cls2),86,payback(F59,W59,disc_rate/12,85))</f>
        <v>19</v>
      </c>
      <c r="AC59" s="295">
        <f ca="1">IF(AND(AC$22=TRUE,INDEX(CDRANGE_CLS2,MATCH($A59,$A$24:$A$67,0),MATCH(AC$20,$B$20:$G$20,0))&lt;$D$6/OPDAYS_Cls2),86,payback(G59,X59,disc_rate/12,85))</f>
        <v>86</v>
      </c>
      <c r="AD59" s="296">
        <f t="shared" si="39"/>
        <v>0</v>
      </c>
      <c r="AE59" s="297">
        <f t="shared" si="40"/>
        <v>0</v>
      </c>
      <c r="AF59" s="297">
        <f t="shared" si="41"/>
        <v>0</v>
      </c>
      <c r="AG59" s="297">
        <f t="shared" si="42"/>
        <v>0</v>
      </c>
      <c r="AH59" s="298">
        <f t="shared" si="43"/>
        <v>0</v>
      </c>
      <c r="AI59" s="299">
        <f t="shared" si="44"/>
        <v>0.49999886983785102</v>
      </c>
      <c r="AJ59" s="300">
        <f t="shared" si="45"/>
        <v>0.49999886983785102</v>
      </c>
      <c r="AK59" s="300">
        <f t="shared" si="46"/>
        <v>0.49999886983785102</v>
      </c>
      <c r="AL59" s="300">
        <f t="shared" si="47"/>
        <v>0.49999886983785102</v>
      </c>
      <c r="AM59" s="301">
        <f t="shared" si="48"/>
        <v>0</v>
      </c>
      <c r="AN59" s="299">
        <f t="shared" si="60"/>
        <v>0.97980700676818722</v>
      </c>
      <c r="AO59" s="300">
        <f t="shared" si="60"/>
        <v>0.9580336301340221</v>
      </c>
      <c r="AP59" s="300">
        <f t="shared" si="60"/>
        <v>0.3455142007551566</v>
      </c>
      <c r="AQ59" s="300">
        <f t="shared" si="60"/>
        <v>0.71647032564691338</v>
      </c>
      <c r="AR59" s="598">
        <f t="shared" si="60"/>
        <v>0</v>
      </c>
      <c r="AS59" s="282">
        <f t="shared" ca="1" si="50"/>
        <v>0.99999773967570205</v>
      </c>
      <c r="AT59" s="283">
        <f t="shared" ca="1" si="51"/>
        <v>0.99999773967570205</v>
      </c>
      <c r="AU59" s="283">
        <f t="shared" si="52"/>
        <v>0</v>
      </c>
      <c r="AV59" s="283">
        <f t="shared" ca="1" si="53"/>
        <v>0.71771614761470548</v>
      </c>
      <c r="AW59" s="284">
        <f t="shared" ca="1" si="54"/>
        <v>0</v>
      </c>
      <c r="AX59" s="296">
        <f t="shared" ca="1" si="55"/>
        <v>0.97980479208660254</v>
      </c>
      <c r="AY59" s="297">
        <f t="shared" ca="1" si="56"/>
        <v>0.95803146466732969</v>
      </c>
      <c r="AZ59" s="297">
        <f t="shared" si="57"/>
        <v>0</v>
      </c>
      <c r="BA59" s="283">
        <f t="shared" ca="1" si="61"/>
        <v>0.51422232200355622</v>
      </c>
      <c r="BB59" s="284">
        <f t="shared" ca="1" si="62"/>
        <v>0</v>
      </c>
      <c r="BC59" s="282">
        <f t="shared" ca="1" si="63"/>
        <v>2.0195207913397462E-2</v>
      </c>
      <c r="BD59" s="283">
        <f t="shared" ca="1" si="64"/>
        <v>0.39151488423344771</v>
      </c>
      <c r="BE59" s="283">
        <f t="shared" ca="1" si="65"/>
        <v>0.3828145983879585</v>
      </c>
      <c r="BF59" s="283">
        <f t="shared" ca="1" si="66"/>
        <v>0</v>
      </c>
      <c r="BG59" s="283">
        <f t="shared" ca="1" si="67"/>
        <v>0.20547530946519629</v>
      </c>
      <c r="BH59" s="284">
        <f t="shared" ca="1" si="68"/>
        <v>0</v>
      </c>
    </row>
    <row r="60" spans="1:60" x14ac:dyDescent="0.2">
      <c r="A60" s="317">
        <v>2043</v>
      </c>
      <c r="B60" s="820">
        <f t="shared" si="73"/>
        <v>139788.32999999999</v>
      </c>
      <c r="C60" s="821">
        <f t="shared" si="73"/>
        <v>12053.97</v>
      </c>
      <c r="D60" s="821">
        <f t="shared" si="73"/>
        <v>17161.89</v>
      </c>
      <c r="E60" s="821">
        <f t="shared" si="73"/>
        <v>72252.009999999995</v>
      </c>
      <c r="F60" s="821">
        <f t="shared" si="73"/>
        <v>43235.06</v>
      </c>
      <c r="G60" s="822">
        <f t="shared" si="73"/>
        <v>1000000</v>
      </c>
      <c r="H60" s="983">
        <f t="shared" si="74"/>
        <v>1</v>
      </c>
      <c r="I60" s="984">
        <f t="shared" si="74"/>
        <v>1</v>
      </c>
      <c r="J60" s="984">
        <f t="shared" si="74"/>
        <v>1</v>
      </c>
      <c r="K60" s="984">
        <f t="shared" si="74"/>
        <v>1</v>
      </c>
      <c r="L60" s="984">
        <f t="shared" si="74"/>
        <v>1</v>
      </c>
      <c r="M60" s="985">
        <f t="shared" si="74"/>
        <v>1</v>
      </c>
      <c r="N60" s="289">
        <f t="shared" si="28"/>
        <v>9322.1687641887056</v>
      </c>
      <c r="O60" s="290">
        <f t="shared" si="29"/>
        <v>6125.3598651075936</v>
      </c>
      <c r="P60" s="290">
        <f t="shared" si="30"/>
        <v>5356.5850702228745</v>
      </c>
      <c r="Q60" s="290">
        <f t="shared" si="31"/>
        <v>5961.4019843077504</v>
      </c>
      <c r="R60" s="290">
        <f t="shared" si="32"/>
        <v>6071.2623788294513</v>
      </c>
      <c r="S60" s="292">
        <f t="shared" si="33"/>
        <v>68410.331155511361</v>
      </c>
      <c r="T60" s="289">
        <f t="shared" si="34"/>
        <v>3196.808899081112</v>
      </c>
      <c r="U60" s="290">
        <f t="shared" si="35"/>
        <v>3965.5836939658311</v>
      </c>
      <c r="V60" s="290">
        <f t="shared" si="36"/>
        <v>3360.7667798809553</v>
      </c>
      <c r="W60" s="290">
        <f t="shared" si="37"/>
        <v>3250.9063853592543</v>
      </c>
      <c r="X60" s="292">
        <f t="shared" si="38"/>
        <v>-59088.162391322658</v>
      </c>
      <c r="Y60" s="293">
        <f ca="1">IF(AND(Y$22=TRUE,INDEX(CDRANGE_CLS2,MATCH($A60,$A$24:$A$67,0),MATCH(Y$20,$B$20:$G$20,0))&lt;$D$6/OPDAYS_Cls2),86,payback(C60,T60,disc_rate/12,85))</f>
        <v>4</v>
      </c>
      <c r="Z60" s="294">
        <f ca="1">IF(AND(Z$22=TRUE,INDEX(CDRANGE_CLS2,MATCH($A60,$A$24:$A$67,0),MATCH(Z$20,$B$20:$G$20,0))&lt;$D$6/OPDAYS_Cls2),86,payback(D60,U60,disc_rate/12,85))</f>
        <v>5</v>
      </c>
      <c r="AA60" s="294">
        <f>IF(AND(AA$22=TRUE,INDEX(CDRANGE_CLS2,MATCH($A60,$A$24:$A$67,0),MATCH(AA$20,$B$20:$G$20,0))&lt;$D$6/OPDAYS_Cls2),86,payback(E60,V60,disc_rate/12,85))</f>
        <v>86</v>
      </c>
      <c r="AB60" s="294">
        <f ca="1">IF(AND(AB$22=TRUE,INDEX(CDRANGE_CLS2,MATCH($A60,$A$24:$A$67,0),MATCH(AB$20,$B$20:$G$20,0))&lt;$D$6/OPDAYS_Cls2),86,payback(F60,W60,disc_rate/12,85))</f>
        <v>14</v>
      </c>
      <c r="AC60" s="295">
        <f ca="1">IF(AND(AC$22=TRUE,INDEX(CDRANGE_CLS2,MATCH($A60,$A$24:$A$67,0),MATCH(AC$20,$B$20:$G$20,0))&lt;$D$6/OPDAYS_Cls2),86,payback(G60,X60,disc_rate/12,85))</f>
        <v>86</v>
      </c>
      <c r="AD60" s="296">
        <f t="shared" si="39"/>
        <v>0</v>
      </c>
      <c r="AE60" s="297">
        <f t="shared" si="40"/>
        <v>0</v>
      </c>
      <c r="AF60" s="297">
        <f t="shared" si="41"/>
        <v>0</v>
      </c>
      <c r="AG60" s="297">
        <f t="shared" si="42"/>
        <v>0</v>
      </c>
      <c r="AH60" s="298">
        <f t="shared" si="43"/>
        <v>0</v>
      </c>
      <c r="AI60" s="299">
        <f t="shared" si="44"/>
        <v>0.49999958423598612</v>
      </c>
      <c r="AJ60" s="300">
        <f t="shared" si="45"/>
        <v>0.49999958423598612</v>
      </c>
      <c r="AK60" s="300">
        <f t="shared" si="46"/>
        <v>0.49999958423598612</v>
      </c>
      <c r="AL60" s="300">
        <f t="shared" si="47"/>
        <v>0.49999958423598612</v>
      </c>
      <c r="AM60" s="301">
        <f t="shared" si="48"/>
        <v>0</v>
      </c>
      <c r="AN60" s="299">
        <f t="shared" si="60"/>
        <v>0.97955728761849503</v>
      </c>
      <c r="AO60" s="300">
        <f t="shared" si="60"/>
        <v>0.95899601963933456</v>
      </c>
      <c r="AP60" s="300">
        <f t="shared" si="60"/>
        <v>0.47611864011408356</v>
      </c>
      <c r="AQ60" s="300">
        <f t="shared" si="60"/>
        <v>0.76665209324697914</v>
      </c>
      <c r="AR60" s="598">
        <f t="shared" si="60"/>
        <v>0</v>
      </c>
      <c r="AS60" s="282">
        <f t="shared" ca="1" si="50"/>
        <v>0.99999916847197223</v>
      </c>
      <c r="AT60" s="283">
        <f t="shared" ca="1" si="51"/>
        <v>0.99999916847197223</v>
      </c>
      <c r="AU60" s="283">
        <f t="shared" si="52"/>
        <v>0</v>
      </c>
      <c r="AV60" s="283">
        <f t="shared" ca="1" si="53"/>
        <v>0.87073692958461035</v>
      </c>
      <c r="AW60" s="284">
        <f t="shared" ca="1" si="54"/>
        <v>0</v>
      </c>
      <c r="AX60" s="296">
        <f t="shared" ca="1" si="55"/>
        <v>0.97955647308915561</v>
      </c>
      <c r="AY60" s="297">
        <f t="shared" ca="1" si="56"/>
        <v>0.95899522220726574</v>
      </c>
      <c r="AZ60" s="297">
        <f t="shared" si="57"/>
        <v>0</v>
      </c>
      <c r="BA60" s="283">
        <f t="shared" ca="1" si="61"/>
        <v>0.66755228973348901</v>
      </c>
      <c r="BB60" s="284">
        <f t="shared" ca="1" si="62"/>
        <v>0</v>
      </c>
      <c r="BC60" s="282">
        <f t="shared" ca="1" si="63"/>
        <v>2.044352691084439E-2</v>
      </c>
      <c r="BD60" s="283">
        <f t="shared" ca="1" si="64"/>
        <v>0.36818595477488325</v>
      </c>
      <c r="BE60" s="283">
        <f t="shared" ca="1" si="65"/>
        <v>0.3604575960785843</v>
      </c>
      <c r="BF60" s="283">
        <f t="shared" ca="1" si="66"/>
        <v>0</v>
      </c>
      <c r="BG60" s="283">
        <f t="shared" ca="1" si="67"/>
        <v>0.25091292223568806</v>
      </c>
      <c r="BH60" s="284">
        <f t="shared" ca="1" si="68"/>
        <v>0</v>
      </c>
    </row>
    <row r="61" spans="1:60" x14ac:dyDescent="0.2">
      <c r="A61" s="317">
        <v>2044</v>
      </c>
      <c r="B61" s="820">
        <f t="shared" si="73"/>
        <v>139788.32999999999</v>
      </c>
      <c r="C61" s="821">
        <f t="shared" si="73"/>
        <v>12124.17</v>
      </c>
      <c r="D61" s="821">
        <f t="shared" si="73"/>
        <v>16969.419999999998</v>
      </c>
      <c r="E61" s="821">
        <f t="shared" si="73"/>
        <v>58880.77</v>
      </c>
      <c r="F61" s="821">
        <f t="shared" si="73"/>
        <v>38346.94</v>
      </c>
      <c r="G61" s="822">
        <f t="shared" si="73"/>
        <v>1000000</v>
      </c>
      <c r="H61" s="983">
        <f t="shared" si="74"/>
        <v>1</v>
      </c>
      <c r="I61" s="984">
        <f t="shared" si="74"/>
        <v>1</v>
      </c>
      <c r="J61" s="984">
        <f t="shared" si="74"/>
        <v>1</v>
      </c>
      <c r="K61" s="984">
        <f t="shared" si="74"/>
        <v>1</v>
      </c>
      <c r="L61" s="984">
        <f t="shared" si="74"/>
        <v>1</v>
      </c>
      <c r="M61" s="985">
        <f t="shared" si="74"/>
        <v>1</v>
      </c>
      <c r="N61" s="289">
        <f t="shared" si="28"/>
        <v>9394.5492804179212</v>
      </c>
      <c r="O61" s="290">
        <f t="shared" si="29"/>
        <v>6021.0005068228429</v>
      </c>
      <c r="P61" s="290">
        <f t="shared" si="30"/>
        <v>5208.5276455499743</v>
      </c>
      <c r="Q61" s="290">
        <f t="shared" si="31"/>
        <v>5099.5544267962978</v>
      </c>
      <c r="R61" s="290">
        <f t="shared" si="32"/>
        <v>5691.6699828299852</v>
      </c>
      <c r="S61" s="292">
        <f t="shared" si="33"/>
        <v>68945.402226467428</v>
      </c>
      <c r="T61" s="289">
        <f t="shared" si="34"/>
        <v>3373.5487735950783</v>
      </c>
      <c r="U61" s="290">
        <f t="shared" si="35"/>
        <v>4186.0216348679469</v>
      </c>
      <c r="V61" s="290">
        <f t="shared" si="36"/>
        <v>4294.9948536216234</v>
      </c>
      <c r="W61" s="290">
        <f t="shared" si="37"/>
        <v>3702.879297587936</v>
      </c>
      <c r="X61" s="292">
        <f t="shared" si="38"/>
        <v>-59550.852946049505</v>
      </c>
      <c r="Y61" s="293">
        <f ca="1">IF(AND(Y$22=TRUE,INDEX(CDRANGE_CLS2,MATCH($A61,$A$24:$A$67,0),MATCH(Y$20,$B$20:$G$20,0))&lt;$D$6/OPDAYS_Cls2),86,payback(C61,T61,disc_rate/12,85))</f>
        <v>4</v>
      </c>
      <c r="Z61" s="294">
        <f ca="1">IF(AND(Z$22=TRUE,INDEX(CDRANGE_CLS2,MATCH($A61,$A$24:$A$67,0),MATCH(Z$20,$B$20:$G$20,0))&lt;$D$6/OPDAYS_Cls2),86,payback(D61,U61,disc_rate/12,85))</f>
        <v>5</v>
      </c>
      <c r="AA61" s="294">
        <f>IF(AND(AA$22=TRUE,INDEX(CDRANGE_CLS2,MATCH($A61,$A$24:$A$67,0),MATCH(AA$20,$B$20:$G$20,0))&lt;$D$6/OPDAYS_Cls2),86,payback(E61,V61,disc_rate/12,85))</f>
        <v>86</v>
      </c>
      <c r="AB61" s="294">
        <f ca="1">IF(AND(AB$22=TRUE,INDEX(CDRANGE_CLS2,MATCH($A61,$A$24:$A$67,0),MATCH(AB$20,$B$20:$G$20,0))&lt;$D$6/OPDAYS_Cls2),86,payback(F61,W61,disc_rate/12,85))</f>
        <v>11</v>
      </c>
      <c r="AC61" s="295">
        <f ca="1">IF(AND(AC$22=TRUE,INDEX(CDRANGE_CLS2,MATCH($A61,$A$24:$A$67,0),MATCH(AC$20,$B$20:$G$20,0))&lt;$D$6/OPDAYS_Cls2),86,payback(G61,X61,disc_rate/12,85))</f>
        <v>86</v>
      </c>
      <c r="AD61" s="296">
        <f t="shared" si="39"/>
        <v>0</v>
      </c>
      <c r="AE61" s="297">
        <f t="shared" si="40"/>
        <v>0</v>
      </c>
      <c r="AF61" s="297">
        <f t="shared" si="41"/>
        <v>0</v>
      </c>
      <c r="AG61" s="297">
        <f t="shared" si="42"/>
        <v>0</v>
      </c>
      <c r="AH61" s="298">
        <f t="shared" si="43"/>
        <v>0</v>
      </c>
      <c r="AI61" s="299">
        <f t="shared" si="44"/>
        <v>0.4999998470488865</v>
      </c>
      <c r="AJ61" s="300">
        <f t="shared" si="45"/>
        <v>0.4999998470488865</v>
      </c>
      <c r="AK61" s="300">
        <f t="shared" si="46"/>
        <v>0.4999998470488865</v>
      </c>
      <c r="AL61" s="300">
        <f t="shared" si="47"/>
        <v>0.4999998470488865</v>
      </c>
      <c r="AM61" s="301">
        <f t="shared" si="48"/>
        <v>0</v>
      </c>
      <c r="AN61" s="299">
        <f t="shared" si="60"/>
        <v>0.97932097162518261</v>
      </c>
      <c r="AO61" s="300">
        <f t="shared" si="60"/>
        <v>0.95989198510528795</v>
      </c>
      <c r="AP61" s="300">
        <f t="shared" si="60"/>
        <v>0.61089130592651952</v>
      </c>
      <c r="AQ61" s="300">
        <f t="shared" si="60"/>
        <v>0.81136758507601359</v>
      </c>
      <c r="AR61" s="598">
        <f t="shared" si="60"/>
        <v>0</v>
      </c>
      <c r="AS61" s="282">
        <f t="shared" ca="1" si="50"/>
        <v>0.99999969409777301</v>
      </c>
      <c r="AT61" s="283">
        <f t="shared" ca="1" si="51"/>
        <v>0.99999969409777301</v>
      </c>
      <c r="AU61" s="283">
        <f t="shared" si="52"/>
        <v>0</v>
      </c>
      <c r="AV61" s="283">
        <f t="shared" ca="1" si="53"/>
        <v>0.94233213789492121</v>
      </c>
      <c r="AW61" s="284">
        <f t="shared" ca="1" si="54"/>
        <v>0</v>
      </c>
      <c r="AX61" s="296">
        <f t="shared" ca="1" si="55"/>
        <v>0.97932067204871642</v>
      </c>
      <c r="AY61" s="297">
        <f t="shared" ca="1" si="56"/>
        <v>0.959891691472192</v>
      </c>
      <c r="AZ61" s="297">
        <f t="shared" si="57"/>
        <v>0</v>
      </c>
      <c r="BA61" s="283">
        <f t="shared" ca="1" si="61"/>
        <v>0.76457775106331927</v>
      </c>
      <c r="BB61" s="284">
        <f t="shared" ca="1" si="62"/>
        <v>0</v>
      </c>
      <c r="BC61" s="282">
        <f t="shared" ca="1" si="63"/>
        <v>2.0679327951283577E-2</v>
      </c>
      <c r="BD61" s="283">
        <f t="shared" ca="1" si="64"/>
        <v>0.35471280611935718</v>
      </c>
      <c r="BE61" s="283">
        <f t="shared" ca="1" si="65"/>
        <v>0.34767557264003096</v>
      </c>
      <c r="BF61" s="283">
        <f t="shared" ca="1" si="66"/>
        <v>0</v>
      </c>
      <c r="BG61" s="283">
        <f t="shared" ca="1" si="67"/>
        <v>0.27693229328932839</v>
      </c>
      <c r="BH61" s="284">
        <f t="shared" ca="1" si="68"/>
        <v>0</v>
      </c>
    </row>
    <row r="62" spans="1:60" ht="13.5" thickBot="1" x14ac:dyDescent="0.25">
      <c r="A62" s="302">
        <v>2045</v>
      </c>
      <c r="B62" s="823">
        <f t="shared" si="73"/>
        <v>139788.32999999999</v>
      </c>
      <c r="C62" s="824">
        <f t="shared" si="73"/>
        <v>12183.05</v>
      </c>
      <c r="D62" s="824">
        <f t="shared" si="73"/>
        <v>16808.009999999998</v>
      </c>
      <c r="E62" s="824">
        <f t="shared" si="73"/>
        <v>47667.28</v>
      </c>
      <c r="F62" s="824">
        <f t="shared" si="73"/>
        <v>34247.629999999997</v>
      </c>
      <c r="G62" s="825">
        <f t="shared" si="73"/>
        <v>1000000</v>
      </c>
      <c r="H62" s="977">
        <f t="shared" si="74"/>
        <v>1</v>
      </c>
      <c r="I62" s="978">
        <f t="shared" si="74"/>
        <v>1</v>
      </c>
      <c r="J62" s="978">
        <f t="shared" si="74"/>
        <v>1</v>
      </c>
      <c r="K62" s="978">
        <f t="shared" si="74"/>
        <v>1</v>
      </c>
      <c r="L62" s="978">
        <f t="shared" si="74"/>
        <v>1</v>
      </c>
      <c r="M62" s="979">
        <f t="shared" si="74"/>
        <v>1</v>
      </c>
      <c r="N62" s="303">
        <f t="shared" si="28"/>
        <v>9523.0262012337589</v>
      </c>
      <c r="O62" s="304">
        <f t="shared" si="29"/>
        <v>5979.9893196265821</v>
      </c>
      <c r="P62" s="304">
        <f t="shared" si="30"/>
        <v>5128.7171328467857</v>
      </c>
      <c r="Q62" s="304">
        <f t="shared" si="31"/>
        <v>4393.9816245404481</v>
      </c>
      <c r="R62" s="304">
        <f t="shared" si="32"/>
        <v>5372.6491353369838</v>
      </c>
      <c r="S62" s="306">
        <f t="shared" si="33"/>
        <v>69892.24126765762</v>
      </c>
      <c r="T62" s="303">
        <f t="shared" si="34"/>
        <v>3543.0368816071768</v>
      </c>
      <c r="U62" s="304">
        <f t="shared" si="35"/>
        <v>4394.3090683869732</v>
      </c>
      <c r="V62" s="304">
        <f t="shared" si="36"/>
        <v>5129.0445766933108</v>
      </c>
      <c r="W62" s="304">
        <f t="shared" si="37"/>
        <v>4150.3770658967751</v>
      </c>
      <c r="X62" s="306">
        <f t="shared" si="38"/>
        <v>-60369.215066423858</v>
      </c>
      <c r="Y62" s="307">
        <f ca="1">IF(AND(Y$22=TRUE,INDEX(CDRANGE_CLS2,MATCH($A62,$A$24:$A$67,0),MATCH(Y$20,$B$20:$G$20,0))&lt;$D$6/OPDAYS_Cls2),86,payback(C62,T62,disc_rate/12,85))</f>
        <v>4</v>
      </c>
      <c r="Z62" s="308">
        <f ca="1">IF(AND(Z$22=TRUE,INDEX(CDRANGE_CLS2,MATCH($A62,$A$24:$A$67,0),MATCH(Z$20,$B$20:$G$20,0))&lt;$D$6/OPDAYS_Cls2),86,payback(D62,U62,disc_rate/12,85))</f>
        <v>4</v>
      </c>
      <c r="AA62" s="308">
        <f>IF(AND(AA$22=TRUE,INDEX(CDRANGE_CLS2,MATCH($A62,$A$24:$A$67,0),MATCH(AA$20,$B$20:$G$20,0))&lt;$D$6/OPDAYS_Cls2),86,payback(E62,V62,disc_rate/12,85))</f>
        <v>86</v>
      </c>
      <c r="AB62" s="308">
        <f ca="1">IF(AND(AB$22=TRUE,INDEX(CDRANGE_CLS2,MATCH($A62,$A$24:$A$67,0),MATCH(AB$20,$B$20:$G$20,0))&lt;$D$6/OPDAYS_Cls2),86,payback(F62,W62,disc_rate/12,85))</f>
        <v>9</v>
      </c>
      <c r="AC62" s="309">
        <f ca="1">IF(AND(AC$22=TRUE,INDEX(CDRANGE_CLS2,MATCH($A62,$A$24:$A$67,0),MATCH(AC$20,$B$20:$G$20,0))&lt;$D$6/OPDAYS_Cls2),86,payback(G62,X62,disc_rate/12,85))</f>
        <v>86</v>
      </c>
      <c r="AD62" s="310">
        <f t="shared" si="39"/>
        <v>0</v>
      </c>
      <c r="AE62" s="311">
        <f t="shared" si="40"/>
        <v>0</v>
      </c>
      <c r="AF62" s="311">
        <f t="shared" si="41"/>
        <v>0</v>
      </c>
      <c r="AG62" s="311">
        <f t="shared" si="42"/>
        <v>0</v>
      </c>
      <c r="AH62" s="312">
        <f t="shared" si="43"/>
        <v>0</v>
      </c>
      <c r="AI62" s="313">
        <f t="shared" si="44"/>
        <v>0.49999994373241896</v>
      </c>
      <c r="AJ62" s="314">
        <f t="shared" si="45"/>
        <v>0.49999994373241896</v>
      </c>
      <c r="AK62" s="314">
        <f t="shared" si="46"/>
        <v>0.49999994373241896</v>
      </c>
      <c r="AL62" s="314">
        <f t="shared" si="47"/>
        <v>0.49999994373241896</v>
      </c>
      <c r="AM62" s="315">
        <f t="shared" si="48"/>
        <v>0</v>
      </c>
      <c r="AN62" s="313">
        <f t="shared" si="60"/>
        <v>0.97912174855162493</v>
      </c>
      <c r="AO62" s="314">
        <f t="shared" si="60"/>
        <v>0.96063620859930088</v>
      </c>
      <c r="AP62" s="314">
        <f t="shared" si="60"/>
        <v>0.72397714669778912</v>
      </c>
      <c r="AQ62" s="314">
        <f t="shared" si="60"/>
        <v>0.84642715366498511</v>
      </c>
      <c r="AR62" s="599">
        <f t="shared" si="60"/>
        <v>0</v>
      </c>
      <c r="AS62" s="830">
        <f t="shared" ca="1" si="50"/>
        <v>0.99999988746483792</v>
      </c>
      <c r="AT62" s="831">
        <f t="shared" ca="1" si="51"/>
        <v>0.99999988746483792</v>
      </c>
      <c r="AU62" s="831">
        <f t="shared" si="52"/>
        <v>0</v>
      </c>
      <c r="AV62" s="831">
        <f t="shared" ca="1" si="53"/>
        <v>0.97659506180302502</v>
      </c>
      <c r="AW62" s="832">
        <f t="shared" ca="1" si="54"/>
        <v>0</v>
      </c>
      <c r="AX62" s="310">
        <f t="shared" ca="1" si="55"/>
        <v>0.9791216383660003</v>
      </c>
      <c r="AY62" s="311">
        <f t="shared" ca="1" si="56"/>
        <v>0.96063610049394943</v>
      </c>
      <c r="AZ62" s="311">
        <f t="shared" si="57"/>
        <v>0</v>
      </c>
      <c r="BA62" s="311">
        <f t="shared" ca="1" si="61"/>
        <v>0.82661657844521474</v>
      </c>
      <c r="BB62" s="312">
        <f t="shared" ca="1" si="62"/>
        <v>0</v>
      </c>
      <c r="BC62" s="310">
        <f t="shared" ca="1" si="63"/>
        <v>2.0878361633999809E-2</v>
      </c>
      <c r="BD62" s="311">
        <f t="shared" ca="1" si="64"/>
        <v>0.34654716706971467</v>
      </c>
      <c r="BE62" s="311">
        <f t="shared" ca="1" si="65"/>
        <v>0.34000445518356948</v>
      </c>
      <c r="BF62" s="311">
        <f t="shared" ca="1" si="66"/>
        <v>0</v>
      </c>
      <c r="BG62" s="311">
        <f t="shared" ca="1" si="67"/>
        <v>0.2925700161127161</v>
      </c>
      <c r="BH62" s="312">
        <f t="shared" ca="1" si="68"/>
        <v>0</v>
      </c>
    </row>
    <row r="63" spans="1:60" x14ac:dyDescent="0.2">
      <c r="A63" s="318">
        <v>2046</v>
      </c>
      <c r="B63" s="826">
        <f t="shared" si="73"/>
        <v>139788.32999999999</v>
      </c>
      <c r="C63" s="827">
        <f t="shared" si="73"/>
        <v>12227.84</v>
      </c>
      <c r="D63" s="827">
        <f t="shared" si="73"/>
        <v>16685.2</v>
      </c>
      <c r="E63" s="827">
        <f t="shared" si="73"/>
        <v>39135.800000000003</v>
      </c>
      <c r="F63" s="827">
        <f t="shared" si="73"/>
        <v>31128.78</v>
      </c>
      <c r="G63" s="828">
        <f t="shared" si="73"/>
        <v>1000000</v>
      </c>
      <c r="H63" s="980">
        <f t="shared" si="74"/>
        <v>1</v>
      </c>
      <c r="I63" s="981">
        <f t="shared" si="74"/>
        <v>1</v>
      </c>
      <c r="J63" s="981">
        <f t="shared" si="74"/>
        <v>1</v>
      </c>
      <c r="K63" s="981">
        <f t="shared" si="74"/>
        <v>1</v>
      </c>
      <c r="L63" s="981">
        <f t="shared" si="74"/>
        <v>1</v>
      </c>
      <c r="M63" s="982">
        <f t="shared" si="74"/>
        <v>1</v>
      </c>
      <c r="N63" s="275">
        <f t="shared" si="28"/>
        <v>9528.1711977236428</v>
      </c>
      <c r="O63" s="276">
        <f t="shared" si="29"/>
        <v>5892.6997477912291</v>
      </c>
      <c r="P63" s="276">
        <f t="shared" si="30"/>
        <v>5022.2576843178304</v>
      </c>
      <c r="Q63" s="276">
        <f t="shared" si="31"/>
        <v>3896.1628260737943</v>
      </c>
      <c r="R63" s="276">
        <f t="shared" si="32"/>
        <v>5110.3084676478338</v>
      </c>
      <c r="S63" s="278">
        <f t="shared" si="33"/>
        <v>69933.967285915438</v>
      </c>
      <c r="T63" s="275">
        <f t="shared" si="34"/>
        <v>3635.4714499324136</v>
      </c>
      <c r="U63" s="276">
        <f t="shared" si="35"/>
        <v>4505.9135134058124</v>
      </c>
      <c r="V63" s="276">
        <f t="shared" si="36"/>
        <v>5632.0083716498484</v>
      </c>
      <c r="W63" s="276">
        <f t="shared" si="37"/>
        <v>4417.8627300758089</v>
      </c>
      <c r="X63" s="278">
        <f t="shared" si="38"/>
        <v>-60405.796088191797</v>
      </c>
      <c r="Y63" s="279">
        <f ca="1">IF(AND(Y$22=TRUE,INDEX(CDRANGE_CLS2,MATCH($A63,$A$24:$A$67,0),MATCH(Y$20,$B$20:$G$20,0))&lt;$D$6/OPDAYS_Cls2),86,payback(C63,T63,disc_rate/12,85))</f>
        <v>4</v>
      </c>
      <c r="Z63" s="280">
        <f ca="1">IF(AND(Z$22=TRUE,INDEX(CDRANGE_CLS2,MATCH($A63,$A$24:$A$67,0),MATCH(Z$20,$B$20:$G$20,0))&lt;$D$6/OPDAYS_Cls2),86,payback(D63,U63,disc_rate/12,85))</f>
        <v>4</v>
      </c>
      <c r="AA63" s="280">
        <f>IF(AND(AA$22=TRUE,INDEX(CDRANGE_CLS2,MATCH($A63,$A$24:$A$67,0),MATCH(AA$20,$B$20:$G$20,0))&lt;$D$6/OPDAYS_Cls2),86,payback(E63,V63,disc_rate/12,85))</f>
        <v>86</v>
      </c>
      <c r="AB63" s="280">
        <f ca="1">IF(AND(AB$22=TRUE,INDEX(CDRANGE_CLS2,MATCH($A63,$A$24:$A$67,0),MATCH(AB$20,$B$20:$G$20,0))&lt;$D$6/OPDAYS_Cls2),86,payback(F63,W63,disc_rate/12,85))</f>
        <v>8</v>
      </c>
      <c r="AC63" s="281">
        <f ca="1">IF(AND(AC$22=TRUE,INDEX(CDRANGE_CLS2,MATCH($A63,$A$24:$A$67,0),MATCH(AC$20,$B$20:$G$20,0))&lt;$D$6/OPDAYS_Cls2),86,payback(G63,X63,disc_rate/12,85))</f>
        <v>86</v>
      </c>
      <c r="AD63" s="282">
        <f t="shared" si="39"/>
        <v>0</v>
      </c>
      <c r="AE63" s="283">
        <f t="shared" si="40"/>
        <v>0</v>
      </c>
      <c r="AF63" s="283">
        <f t="shared" si="41"/>
        <v>0</v>
      </c>
      <c r="AG63" s="283">
        <f t="shared" si="42"/>
        <v>0</v>
      </c>
      <c r="AH63" s="284">
        <f t="shared" si="43"/>
        <v>0</v>
      </c>
      <c r="AI63" s="285">
        <f t="shared" si="44"/>
        <v>0.4999999793003122</v>
      </c>
      <c r="AJ63" s="286">
        <f t="shared" si="45"/>
        <v>0.4999999793003122</v>
      </c>
      <c r="AK63" s="286">
        <f t="shared" si="46"/>
        <v>0.4999999793003122</v>
      </c>
      <c r="AL63" s="286">
        <f t="shared" si="47"/>
        <v>0.4999999793003122</v>
      </c>
      <c r="AM63" s="287">
        <f t="shared" si="48"/>
        <v>0</v>
      </c>
      <c r="AN63" s="285">
        <f t="shared" si="60"/>
        <v>0.97896958056654027</v>
      </c>
      <c r="AO63" s="286">
        <f t="shared" si="60"/>
        <v>0.9611980737525887</v>
      </c>
      <c r="AP63" s="286">
        <f t="shared" si="60"/>
        <v>0.80434830068371155</v>
      </c>
      <c r="AQ63" s="286">
        <f t="shared" si="60"/>
        <v>0.87131973844633726</v>
      </c>
      <c r="AR63" s="611">
        <f t="shared" si="60"/>
        <v>0</v>
      </c>
      <c r="AS63" s="637">
        <f t="shared" ca="1" si="50"/>
        <v>0.99999995860062441</v>
      </c>
      <c r="AT63" s="638">
        <f t="shared" ca="1" si="51"/>
        <v>0.99999995860062441</v>
      </c>
      <c r="AU63" s="638">
        <f t="shared" si="52"/>
        <v>0</v>
      </c>
      <c r="AV63" s="638">
        <f t="shared" ca="1" si="53"/>
        <v>0.98864991908432542</v>
      </c>
      <c r="AW63" s="639">
        <f t="shared" ca="1" si="54"/>
        <v>0</v>
      </c>
      <c r="AX63" s="282">
        <f t="shared" ca="1" si="55"/>
        <v>0.97896954003781089</v>
      </c>
      <c r="AY63" s="283">
        <f t="shared" ca="1" si="56"/>
        <v>0.96119803395958858</v>
      </c>
      <c r="AZ63" s="283">
        <f t="shared" si="57"/>
        <v>0</v>
      </c>
      <c r="BA63" s="283">
        <f t="shared" ca="1" si="61"/>
        <v>0.86143018891154688</v>
      </c>
      <c r="BB63" s="284">
        <f t="shared" ca="1" si="62"/>
        <v>0</v>
      </c>
      <c r="BC63" s="282">
        <f t="shared" ca="1" si="63"/>
        <v>2.1030459962189108E-2</v>
      </c>
      <c r="BD63" s="283">
        <f t="shared" ca="1" si="64"/>
        <v>0.34208385408144371</v>
      </c>
      <c r="BE63" s="283">
        <f t="shared" ca="1" si="65"/>
        <v>0.33587391082638046</v>
      </c>
      <c r="BF63" s="283">
        <f t="shared" ca="1" si="66"/>
        <v>0</v>
      </c>
      <c r="BG63" s="283">
        <f t="shared" ca="1" si="67"/>
        <v>0.30101177512998673</v>
      </c>
      <c r="BH63" s="284">
        <f t="shared" ca="1" si="68"/>
        <v>0</v>
      </c>
    </row>
    <row r="64" spans="1:60" x14ac:dyDescent="0.2">
      <c r="A64" s="317">
        <v>2047</v>
      </c>
      <c r="B64" s="820">
        <f t="shared" si="73"/>
        <v>139788.32999999999</v>
      </c>
      <c r="C64" s="821">
        <f t="shared" si="73"/>
        <v>12259.46</v>
      </c>
      <c r="D64" s="821">
        <f t="shared" si="73"/>
        <v>16598.52</v>
      </c>
      <c r="E64" s="821">
        <f t="shared" si="73"/>
        <v>33113.39</v>
      </c>
      <c r="F64" s="821">
        <f t="shared" si="73"/>
        <v>28927.18</v>
      </c>
      <c r="G64" s="822">
        <f t="shared" si="73"/>
        <v>1000000</v>
      </c>
      <c r="H64" s="983">
        <f t="shared" si="74"/>
        <v>1</v>
      </c>
      <c r="I64" s="984">
        <f t="shared" si="74"/>
        <v>1</v>
      </c>
      <c r="J64" s="984">
        <f t="shared" si="74"/>
        <v>1</v>
      </c>
      <c r="K64" s="984">
        <f t="shared" si="74"/>
        <v>1</v>
      </c>
      <c r="L64" s="984">
        <f t="shared" si="74"/>
        <v>1</v>
      </c>
      <c r="M64" s="985">
        <f t="shared" si="74"/>
        <v>1</v>
      </c>
      <c r="N64" s="289">
        <f t="shared" si="28"/>
        <v>9616.5831996387733</v>
      </c>
      <c r="O64" s="290">
        <f t="shared" si="29"/>
        <v>5884.637646721334</v>
      </c>
      <c r="P64" s="290">
        <f t="shared" si="30"/>
        <v>4993.912251224453</v>
      </c>
      <c r="Q64" s="290">
        <f t="shared" si="31"/>
        <v>3599.6738075995581</v>
      </c>
      <c r="R64" s="290">
        <f t="shared" si="32"/>
        <v>4892.774524468362</v>
      </c>
      <c r="S64" s="292">
        <f t="shared" si="33"/>
        <v>70586.887509617954</v>
      </c>
      <c r="T64" s="289">
        <f t="shared" si="34"/>
        <v>3731.9455529174393</v>
      </c>
      <c r="U64" s="290">
        <f t="shared" si="35"/>
        <v>4622.6709484143203</v>
      </c>
      <c r="V64" s="290">
        <f t="shared" si="36"/>
        <v>6016.9093920392152</v>
      </c>
      <c r="W64" s="290">
        <f t="shared" si="37"/>
        <v>4723.8086751704113</v>
      </c>
      <c r="X64" s="292">
        <f t="shared" si="38"/>
        <v>-60970.304309979183</v>
      </c>
      <c r="Y64" s="293">
        <f ca="1">IF(AND(Y$22=TRUE,INDEX(CDRANGE_CLS2,MATCH($A64,$A$24:$A$67,0),MATCH(Y$20,$B$20:$G$20,0))&lt;$D$6/OPDAYS_Cls2),86,payback(C64,T64,disc_rate/12,85))</f>
        <v>4</v>
      </c>
      <c r="Z64" s="294">
        <f ca="1">IF(AND(Z$22=TRUE,INDEX(CDRANGE_CLS2,MATCH($A64,$A$24:$A$67,0),MATCH(Z$20,$B$20:$G$20,0))&lt;$D$6/OPDAYS_Cls2),86,payback(D64,U64,disc_rate/12,85))</f>
        <v>4</v>
      </c>
      <c r="AA64" s="294">
        <f>IF(AND(AA$22=TRUE,INDEX(CDRANGE_CLS2,MATCH($A64,$A$24:$A$67,0),MATCH(AA$20,$B$20:$G$20,0))&lt;$D$6/OPDAYS_Cls2),86,payback(E64,V64,disc_rate/12,85))</f>
        <v>86</v>
      </c>
      <c r="AB64" s="294">
        <f ca="1">IF(AND(AB$22=TRUE,INDEX(CDRANGE_CLS2,MATCH($A64,$A$24:$A$67,0),MATCH(AB$20,$B$20:$G$20,0))&lt;$D$6/OPDAYS_Cls2),86,payback(F64,W64,disc_rate/12,85))</f>
        <v>7</v>
      </c>
      <c r="AC64" s="295">
        <f ca="1">IF(AND(AC$22=TRUE,INDEX(CDRANGE_CLS2,MATCH($A64,$A$24:$A$67,0),MATCH(AC$20,$B$20:$G$20,0))&lt;$D$6/OPDAYS_Cls2),86,payback(G64,X64,disc_rate/12,85))</f>
        <v>86</v>
      </c>
      <c r="AD64" s="296">
        <f t="shared" si="39"/>
        <v>0</v>
      </c>
      <c r="AE64" s="297">
        <f t="shared" si="40"/>
        <v>0</v>
      </c>
      <c r="AF64" s="297">
        <f t="shared" si="41"/>
        <v>0</v>
      </c>
      <c r="AG64" s="297">
        <f t="shared" si="42"/>
        <v>0</v>
      </c>
      <c r="AH64" s="298">
        <f t="shared" si="43"/>
        <v>0</v>
      </c>
      <c r="AI64" s="299">
        <f t="shared" si="44"/>
        <v>0.49999999238501025</v>
      </c>
      <c r="AJ64" s="300">
        <f t="shared" si="45"/>
        <v>0.49999999238501025</v>
      </c>
      <c r="AK64" s="300">
        <f t="shared" si="46"/>
        <v>0.49999999238501025</v>
      </c>
      <c r="AL64" s="300">
        <f t="shared" si="47"/>
        <v>0.49999999238501025</v>
      </c>
      <c r="AM64" s="301">
        <f t="shared" si="48"/>
        <v>0</v>
      </c>
      <c r="AN64" s="299">
        <f t="shared" si="60"/>
        <v>0.97886183392793913</v>
      </c>
      <c r="AO64" s="300">
        <f t="shared" si="60"/>
        <v>0.96159235704911672</v>
      </c>
      <c r="AP64" s="300">
        <f t="shared" si="60"/>
        <v>0.85567029161949915</v>
      </c>
      <c r="AQ64" s="300">
        <f t="shared" si="60"/>
        <v>0.8878513616295195</v>
      </c>
      <c r="AR64" s="598">
        <f t="shared" si="60"/>
        <v>0</v>
      </c>
      <c r="AS64" s="282">
        <f t="shared" ca="1" si="50"/>
        <v>0.9999999847700205</v>
      </c>
      <c r="AT64" s="283">
        <f t="shared" ca="1" si="51"/>
        <v>0.9999999847700205</v>
      </c>
      <c r="AU64" s="283">
        <f t="shared" si="52"/>
        <v>0</v>
      </c>
      <c r="AV64" s="283">
        <f t="shared" ca="1" si="53"/>
        <v>0.99672727022689356</v>
      </c>
      <c r="AW64" s="284">
        <f t="shared" ca="1" si="54"/>
        <v>0</v>
      </c>
      <c r="AX64" s="296">
        <f t="shared" ca="1" si="55"/>
        <v>0.97886181901989344</v>
      </c>
      <c r="AY64" s="297">
        <f t="shared" ca="1" si="56"/>
        <v>0.96159234240408487</v>
      </c>
      <c r="AZ64" s="297">
        <f t="shared" si="57"/>
        <v>0</v>
      </c>
      <c r="BA64" s="283">
        <f t="shared" ca="1" si="61"/>
        <v>0.88494566404422148</v>
      </c>
      <c r="BB64" s="284">
        <f t="shared" ca="1" si="62"/>
        <v>0</v>
      </c>
      <c r="BC64" s="282">
        <f t="shared" ca="1" si="63"/>
        <v>2.1138180980106558E-2</v>
      </c>
      <c r="BD64" s="283">
        <f t="shared" ca="1" si="64"/>
        <v>0.33912738724550434</v>
      </c>
      <c r="BE64" s="283">
        <f t="shared" ca="1" si="65"/>
        <v>0.33314436454503732</v>
      </c>
      <c r="BF64" s="283">
        <f t="shared" ca="1" si="66"/>
        <v>0</v>
      </c>
      <c r="BG64" s="283">
        <f t="shared" ca="1" si="67"/>
        <v>0.30659006722935178</v>
      </c>
      <c r="BH64" s="284">
        <f t="shared" ca="1" si="68"/>
        <v>0</v>
      </c>
    </row>
    <row r="65" spans="1:60" x14ac:dyDescent="0.2">
      <c r="A65" s="317">
        <v>2048</v>
      </c>
      <c r="B65" s="820">
        <f t="shared" si="73"/>
        <v>139788.32999999999</v>
      </c>
      <c r="C65" s="821">
        <f t="shared" si="73"/>
        <v>12280.61</v>
      </c>
      <c r="D65" s="821">
        <f t="shared" si="73"/>
        <v>16540.509999999998</v>
      </c>
      <c r="E65" s="821">
        <f t="shared" si="73"/>
        <v>29083.49</v>
      </c>
      <c r="F65" s="821">
        <f t="shared" si="73"/>
        <v>27453.97</v>
      </c>
      <c r="G65" s="822">
        <f t="shared" si="73"/>
        <v>1000000</v>
      </c>
      <c r="H65" s="983">
        <f t="shared" si="74"/>
        <v>1</v>
      </c>
      <c r="I65" s="984">
        <f t="shared" si="74"/>
        <v>1</v>
      </c>
      <c r="J65" s="984">
        <f t="shared" si="74"/>
        <v>1</v>
      </c>
      <c r="K65" s="984">
        <f t="shared" si="74"/>
        <v>1</v>
      </c>
      <c r="L65" s="984">
        <f t="shared" si="74"/>
        <v>1</v>
      </c>
      <c r="M65" s="985">
        <f t="shared" si="74"/>
        <v>1</v>
      </c>
      <c r="N65" s="289">
        <f t="shared" si="28"/>
        <v>9697.6501456658043</v>
      </c>
      <c r="O65" s="290">
        <f t="shared" si="29"/>
        <v>5892.7624363240338</v>
      </c>
      <c r="P65" s="290">
        <f t="shared" si="30"/>
        <v>4986.7708268266915</v>
      </c>
      <c r="Q65" s="290">
        <f t="shared" si="31"/>
        <v>3447.6250127832477</v>
      </c>
      <c r="R65" s="290">
        <f t="shared" si="32"/>
        <v>4707.0340703481625</v>
      </c>
      <c r="S65" s="292">
        <f t="shared" si="33"/>
        <v>71185.964665070365</v>
      </c>
      <c r="T65" s="289">
        <f t="shared" si="34"/>
        <v>3804.8877093417705</v>
      </c>
      <c r="U65" s="290">
        <f t="shared" si="35"/>
        <v>4710.8793188391128</v>
      </c>
      <c r="V65" s="290">
        <f t="shared" si="36"/>
        <v>6250.0251328825561</v>
      </c>
      <c r="W65" s="290">
        <f t="shared" si="37"/>
        <v>4990.6160753176418</v>
      </c>
      <c r="X65" s="292">
        <f t="shared" si="38"/>
        <v>-61488.314519404565</v>
      </c>
      <c r="Y65" s="293">
        <f ca="1">IF(AND(Y$22=TRUE,INDEX(CDRANGE_CLS2,MATCH($A65,$A$24:$A$67,0),MATCH(Y$20,$B$20:$G$20,0))&lt;$D$6/OPDAYS_Cls2),86,payback(C65,T65,disc_rate/12,85))</f>
        <v>4</v>
      </c>
      <c r="Z65" s="294">
        <f ca="1">IF(AND(Z$22=TRUE,INDEX(CDRANGE_CLS2,MATCH($A65,$A$24:$A$67,0),MATCH(Z$20,$B$20:$G$20,0))&lt;$D$6/OPDAYS_Cls2),86,payback(D65,U65,disc_rate/12,85))</f>
        <v>4</v>
      </c>
      <c r="AA65" s="294">
        <f>IF(AND(AA$22=TRUE,INDEX(CDRANGE_CLS2,MATCH($A65,$A$24:$A$67,0),MATCH(AA$20,$B$20:$G$20,0))&lt;$D$6/OPDAYS_Cls2),86,payback(E65,V65,disc_rate/12,85))</f>
        <v>86</v>
      </c>
      <c r="AB65" s="294">
        <f ca="1">IF(AND(AB$22=TRUE,INDEX(CDRANGE_CLS2,MATCH($A65,$A$24:$A$67,0),MATCH(AB$20,$B$20:$G$20,0))&lt;$D$6/OPDAYS_Cls2),86,payback(F65,W65,disc_rate/12,85))</f>
        <v>6</v>
      </c>
      <c r="AC65" s="295">
        <f ca="1">IF(AND(AC$22=TRUE,INDEX(CDRANGE_CLS2,MATCH($A65,$A$24:$A$67,0),MATCH(AC$20,$B$20:$G$20,0))&lt;$D$6/OPDAYS_Cls2),86,payback(G65,X65,disc_rate/12,85))</f>
        <v>86</v>
      </c>
      <c r="AD65" s="296">
        <f t="shared" si="39"/>
        <v>0</v>
      </c>
      <c r="AE65" s="297">
        <f t="shared" si="40"/>
        <v>0</v>
      </c>
      <c r="AF65" s="297">
        <f t="shared" si="41"/>
        <v>0</v>
      </c>
      <c r="AG65" s="297">
        <f t="shared" si="42"/>
        <v>0</v>
      </c>
      <c r="AH65" s="298">
        <f t="shared" si="43"/>
        <v>0</v>
      </c>
      <c r="AI65" s="299">
        <f t="shared" si="44"/>
        <v>0.49999999719860178</v>
      </c>
      <c r="AJ65" s="300">
        <f t="shared" si="45"/>
        <v>0.49999999719860178</v>
      </c>
      <c r="AK65" s="300">
        <f t="shared" si="46"/>
        <v>0.49999999719860178</v>
      </c>
      <c r="AL65" s="300">
        <f t="shared" si="47"/>
        <v>0.49999999719860178</v>
      </c>
      <c r="AM65" s="301">
        <f t="shared" si="48"/>
        <v>0</v>
      </c>
      <c r="AN65" s="299">
        <f t="shared" si="60"/>
        <v>0.97878961563651212</v>
      </c>
      <c r="AO65" s="300">
        <f t="shared" si="60"/>
        <v>0.96185517115346342</v>
      </c>
      <c r="AP65" s="300">
        <f t="shared" si="60"/>
        <v>0.88670766535971146</v>
      </c>
      <c r="AQ65" s="300">
        <f t="shared" si="60"/>
        <v>0.89839671132988819</v>
      </c>
      <c r="AR65" s="598">
        <f t="shared" si="60"/>
        <v>0</v>
      </c>
      <c r="AS65" s="282">
        <f t="shared" ca="1" si="50"/>
        <v>0.99999999439720355</v>
      </c>
      <c r="AT65" s="283">
        <f t="shared" ca="1" si="51"/>
        <v>0.99999999439720355</v>
      </c>
      <c r="AU65" s="283">
        <f t="shared" si="52"/>
        <v>0</v>
      </c>
      <c r="AV65" s="283">
        <f t="shared" ca="1" si="53"/>
        <v>0.99999999439720355</v>
      </c>
      <c r="AW65" s="284">
        <f t="shared" ca="1" si="54"/>
        <v>0</v>
      </c>
      <c r="AX65" s="296">
        <f t="shared" ca="1" si="55"/>
        <v>0.97878961015255317</v>
      </c>
      <c r="AY65" s="297">
        <f t="shared" ca="1" si="56"/>
        <v>0.96185516576438468</v>
      </c>
      <c r="AZ65" s="297">
        <f t="shared" si="57"/>
        <v>0</v>
      </c>
      <c r="BA65" s="283">
        <f t="shared" ca="1" si="61"/>
        <v>0.89839670629635426</v>
      </c>
      <c r="BB65" s="284">
        <f t="shared" ca="1" si="62"/>
        <v>0</v>
      </c>
      <c r="BC65" s="282">
        <f t="shared" ca="1" si="63"/>
        <v>2.121038984744672E-2</v>
      </c>
      <c r="BD65" s="283">
        <f t="shared" ca="1" si="64"/>
        <v>0.33744808131359744</v>
      </c>
      <c r="BE65" s="283">
        <f t="shared" ca="1" si="65"/>
        <v>0.33160975231252776</v>
      </c>
      <c r="BF65" s="283">
        <f t="shared" ca="1" si="66"/>
        <v>0</v>
      </c>
      <c r="BG65" s="283">
        <f t="shared" ca="1" si="67"/>
        <v>0.30973177652642808</v>
      </c>
      <c r="BH65" s="284">
        <f t="shared" ca="1" si="68"/>
        <v>0</v>
      </c>
    </row>
    <row r="66" spans="1:60" x14ac:dyDescent="0.2">
      <c r="A66" s="317">
        <v>2049</v>
      </c>
      <c r="B66" s="820">
        <f t="shared" si="73"/>
        <v>139788.32999999999</v>
      </c>
      <c r="C66" s="821">
        <f t="shared" si="73"/>
        <v>12294.27</v>
      </c>
      <c r="D66" s="821">
        <f t="shared" si="73"/>
        <v>16503.07</v>
      </c>
      <c r="E66" s="821">
        <f t="shared" si="73"/>
        <v>26482.46</v>
      </c>
      <c r="F66" s="821">
        <f t="shared" si="73"/>
        <v>26503.11</v>
      </c>
      <c r="G66" s="822">
        <f t="shared" si="73"/>
        <v>1000000</v>
      </c>
      <c r="H66" s="983">
        <f t="shared" si="74"/>
        <v>1</v>
      </c>
      <c r="I66" s="984">
        <f t="shared" si="74"/>
        <v>1</v>
      </c>
      <c r="J66" s="984">
        <f t="shared" si="74"/>
        <v>1</v>
      </c>
      <c r="K66" s="984">
        <f t="shared" si="74"/>
        <v>1</v>
      </c>
      <c r="L66" s="984">
        <f t="shared" si="74"/>
        <v>1</v>
      </c>
      <c r="M66" s="985">
        <f t="shared" si="74"/>
        <v>1</v>
      </c>
      <c r="N66" s="289">
        <f t="shared" si="28"/>
        <v>9756.4820047924422</v>
      </c>
      <c r="O66" s="290">
        <f t="shared" si="29"/>
        <v>5902.0046967642011</v>
      </c>
      <c r="P66" s="290">
        <f t="shared" si="30"/>
        <v>4985.6642529827013</v>
      </c>
      <c r="Q66" s="290">
        <f t="shared" si="31"/>
        <v>3367.8212892074293</v>
      </c>
      <c r="R66" s="290">
        <f t="shared" si="32"/>
        <v>4542.344361971499</v>
      </c>
      <c r="S66" s="292">
        <f t="shared" si="33"/>
        <v>71621.882553678661</v>
      </c>
      <c r="T66" s="289">
        <f t="shared" si="34"/>
        <v>3854.4773080282412</v>
      </c>
      <c r="U66" s="290">
        <f t="shared" si="35"/>
        <v>4770.8177518097409</v>
      </c>
      <c r="V66" s="290">
        <f t="shared" si="36"/>
        <v>6388.6607155850124</v>
      </c>
      <c r="W66" s="290">
        <f t="shared" si="37"/>
        <v>5214.1376428209433</v>
      </c>
      <c r="X66" s="292">
        <f t="shared" si="38"/>
        <v>-61865.400548886217</v>
      </c>
      <c r="Y66" s="293">
        <f ca="1">IF(AND(Y$22=TRUE,INDEX(CDRANGE_CLS2,MATCH($A66,$A$24:$A$67,0),MATCH(Y$20,$B$20:$G$20,0))&lt;$D$6/OPDAYS_Cls2),86,payback(C66,T66,disc_rate/12,85))</f>
        <v>4</v>
      </c>
      <c r="Z66" s="294">
        <f ca="1">IF(AND(Z$22=TRUE,INDEX(CDRANGE_CLS2,MATCH($A66,$A$24:$A$67,0),MATCH(Z$20,$B$20:$G$20,0))&lt;$D$6/OPDAYS_Cls2),86,payback(D66,U66,disc_rate/12,85))</f>
        <v>4</v>
      </c>
      <c r="AA66" s="294">
        <f>IF(AND(AA$22=TRUE,INDEX(CDRANGE_CLS2,MATCH($A66,$A$24:$A$67,0),MATCH(AA$20,$B$20:$G$20,0))&lt;$D$6/OPDAYS_Cls2),86,payback(E66,V66,disc_rate/12,85))</f>
        <v>86</v>
      </c>
      <c r="AB66" s="294">
        <f ca="1">IF(AND(AB$22=TRUE,INDEX(CDRANGE_CLS2,MATCH($A66,$A$24:$A$67,0),MATCH(AB$20,$B$20:$G$20,0))&lt;$D$6/OPDAYS_Cls2),86,payback(F66,W66,disc_rate/12,85))</f>
        <v>6</v>
      </c>
      <c r="AC66" s="295">
        <f ca="1">IF(AND(AC$22=TRUE,INDEX(CDRANGE_CLS2,MATCH($A66,$A$24:$A$67,0),MATCH(AC$20,$B$20:$G$20,0))&lt;$D$6/OPDAYS_Cls2),86,payback(G66,X66,disc_rate/12,85))</f>
        <v>86</v>
      </c>
      <c r="AD66" s="296">
        <f t="shared" si="39"/>
        <v>0</v>
      </c>
      <c r="AE66" s="297">
        <f t="shared" si="40"/>
        <v>0</v>
      </c>
      <c r="AF66" s="297">
        <f t="shared" si="41"/>
        <v>0</v>
      </c>
      <c r="AG66" s="297">
        <f t="shared" si="42"/>
        <v>0</v>
      </c>
      <c r="AH66" s="298">
        <f t="shared" si="43"/>
        <v>0</v>
      </c>
      <c r="AI66" s="299">
        <f t="shared" si="44"/>
        <v>0.49999999896942315</v>
      </c>
      <c r="AJ66" s="300">
        <f t="shared" si="45"/>
        <v>0.49999999896942315</v>
      </c>
      <c r="AK66" s="300">
        <f t="shared" si="46"/>
        <v>0.49999999896942315</v>
      </c>
      <c r="AL66" s="300">
        <f t="shared" si="47"/>
        <v>0.49999999896942315</v>
      </c>
      <c r="AM66" s="301">
        <f t="shared" si="48"/>
        <v>0</v>
      </c>
      <c r="AN66" s="299">
        <f t="shared" si="60"/>
        <v>0.97874290919694884</v>
      </c>
      <c r="AO66" s="300">
        <f t="shared" si="60"/>
        <v>0.96202434237019352</v>
      </c>
      <c r="AP66" s="300">
        <f t="shared" si="60"/>
        <v>0.90511365611653982</v>
      </c>
      <c r="AQ66" s="300">
        <f t="shared" si="60"/>
        <v>0.90497288852624114</v>
      </c>
      <c r="AR66" s="598">
        <f t="shared" si="60"/>
        <v>0</v>
      </c>
      <c r="AS66" s="282">
        <f t="shared" ca="1" si="50"/>
        <v>0.99999999793884631</v>
      </c>
      <c r="AT66" s="283">
        <f t="shared" ca="1" si="51"/>
        <v>0.99999999793884631</v>
      </c>
      <c r="AU66" s="283">
        <f t="shared" si="52"/>
        <v>0</v>
      </c>
      <c r="AV66" s="283">
        <f t="shared" ca="1" si="53"/>
        <v>0.99999999793884631</v>
      </c>
      <c r="AW66" s="284">
        <f t="shared" ca="1" si="54"/>
        <v>0</v>
      </c>
      <c r="AX66" s="296">
        <f t="shared" ca="1" si="55"/>
        <v>0.97874290717960932</v>
      </c>
      <c r="AY66" s="297">
        <f t="shared" ca="1" si="56"/>
        <v>0.96202434038731355</v>
      </c>
      <c r="AZ66" s="297">
        <f t="shared" si="57"/>
        <v>0</v>
      </c>
      <c r="BA66" s="283">
        <f t="shared" ca="1" si="61"/>
        <v>0.90497288666095288</v>
      </c>
      <c r="BB66" s="284">
        <f t="shared" ca="1" si="62"/>
        <v>0</v>
      </c>
      <c r="BC66" s="282">
        <f t="shared" ca="1" si="63"/>
        <v>2.1257092820390788E-2</v>
      </c>
      <c r="BD66" s="283">
        <f t="shared" ca="1" si="64"/>
        <v>0.33662162852909511</v>
      </c>
      <c r="BE66" s="283">
        <f t="shared" ca="1" si="65"/>
        <v>0.33087156777359761</v>
      </c>
      <c r="BF66" s="283">
        <f t="shared" ca="1" si="66"/>
        <v>0</v>
      </c>
      <c r="BG66" s="283">
        <f t="shared" ca="1" si="67"/>
        <v>0.31124971087691655</v>
      </c>
      <c r="BH66" s="284">
        <f t="shared" ca="1" si="68"/>
        <v>0</v>
      </c>
    </row>
    <row r="67" spans="1:60" ht="13.5" thickBot="1" x14ac:dyDescent="0.25">
      <c r="A67" s="302">
        <v>2050</v>
      </c>
      <c r="B67" s="823">
        <f t="shared" si="73"/>
        <v>139788.32999999999</v>
      </c>
      <c r="C67" s="824">
        <f t="shared" si="73"/>
        <v>12316.67</v>
      </c>
      <c r="D67" s="824">
        <f t="shared" si="73"/>
        <v>16441.669999999998</v>
      </c>
      <c r="E67" s="824">
        <f t="shared" si="73"/>
        <v>22216.67</v>
      </c>
      <c r="F67" s="824">
        <f t="shared" si="73"/>
        <v>24943.67</v>
      </c>
      <c r="G67" s="825">
        <f t="shared" si="73"/>
        <v>1000000</v>
      </c>
      <c r="H67" s="977">
        <f t="shared" si="74"/>
        <v>1</v>
      </c>
      <c r="I67" s="978">
        <f t="shared" si="74"/>
        <v>1</v>
      </c>
      <c r="J67" s="978">
        <f t="shared" si="74"/>
        <v>1</v>
      </c>
      <c r="K67" s="978">
        <f t="shared" si="74"/>
        <v>1</v>
      </c>
      <c r="L67" s="978">
        <f t="shared" si="74"/>
        <v>1</v>
      </c>
      <c r="M67" s="979">
        <f t="shared" si="74"/>
        <v>1</v>
      </c>
      <c r="N67" s="303">
        <f t="shared" si="28"/>
        <v>9810.6482207280533</v>
      </c>
      <c r="O67" s="304">
        <f t="shared" si="29"/>
        <v>5891.3628746888598</v>
      </c>
      <c r="P67" s="304">
        <f t="shared" si="30"/>
        <v>4962.299890352263</v>
      </c>
      <c r="Q67" s="304">
        <f t="shared" si="31"/>
        <v>3302.8055830008789</v>
      </c>
      <c r="R67" s="304">
        <f t="shared" si="32"/>
        <v>4360.8316679396312</v>
      </c>
      <c r="S67" s="306">
        <f t="shared" si="33"/>
        <v>72023.59719885599</v>
      </c>
      <c r="T67" s="303">
        <f t="shared" si="34"/>
        <v>3919.2853460391934</v>
      </c>
      <c r="U67" s="304">
        <f t="shared" si="35"/>
        <v>4848.3483303757903</v>
      </c>
      <c r="V67" s="304">
        <f t="shared" si="36"/>
        <v>6507.8426377271744</v>
      </c>
      <c r="W67" s="304">
        <f t="shared" si="37"/>
        <v>5449.8165527884221</v>
      </c>
      <c r="X67" s="306">
        <f t="shared" si="38"/>
        <v>-62212.948978127941</v>
      </c>
      <c r="Y67" s="307">
        <f ca="1">IF(AND(Y$22=TRUE,INDEX(CDRANGE_CLS2,MATCH($A67,$A$24:$A$67,0),MATCH(Y$20,$B$20:$G$20,0))&lt;$D$6/OPDAYS_Cls2),86,payback(C67,T67,disc_rate/12,85))</f>
        <v>4</v>
      </c>
      <c r="Z67" s="308">
        <f ca="1">IF(AND(Z$22=TRUE,INDEX(CDRANGE_CLS2,MATCH($A67,$A$24:$A$67,0),MATCH(Z$20,$B$20:$G$20,0))&lt;$D$6/OPDAYS_Cls2),86,payback(D67,U67,disc_rate/12,85))</f>
        <v>4</v>
      </c>
      <c r="AA67" s="308">
        <f>IF(AND(AA$22=TRUE,INDEX(CDRANGE_CLS2,MATCH($A67,$A$24:$A$67,0),MATCH(AA$20,$B$20:$G$20,0))&lt;$D$6/OPDAYS_Cls2),86,payback(E67,V67,disc_rate/12,85))</f>
        <v>86</v>
      </c>
      <c r="AB67" s="308">
        <f ca="1">IF(AND(AB$22=TRUE,INDEX(CDRANGE_CLS2,MATCH($A67,$A$24:$A$67,0),MATCH(AB$20,$B$20:$G$20,0))&lt;$D$6/OPDAYS_Cls2),86,payback(F67,W67,disc_rate/12,85))</f>
        <v>5</v>
      </c>
      <c r="AC67" s="309">
        <f ca="1">IF(AND(AC$22=TRUE,INDEX(CDRANGE_CLS2,MATCH($A67,$A$24:$A$67,0),MATCH(AC$20,$B$20:$G$20,0))&lt;$D$6/OPDAYS_Cls2),86,payback(G67,X67,disc_rate/12,85))</f>
        <v>86</v>
      </c>
      <c r="AD67" s="310">
        <f t="shared" si="39"/>
        <v>0</v>
      </c>
      <c r="AE67" s="311">
        <f t="shared" si="40"/>
        <v>0</v>
      </c>
      <c r="AF67" s="311">
        <f t="shared" si="41"/>
        <v>0</v>
      </c>
      <c r="AG67" s="311">
        <f t="shared" si="42"/>
        <v>0</v>
      </c>
      <c r="AH67" s="312">
        <f t="shared" si="43"/>
        <v>0</v>
      </c>
      <c r="AI67" s="313">
        <f t="shared" si="44"/>
        <v>0.49999999962087194</v>
      </c>
      <c r="AJ67" s="314">
        <f t="shared" si="45"/>
        <v>0.49999999962087194</v>
      </c>
      <c r="AK67" s="314">
        <f t="shared" si="46"/>
        <v>0.49999999962087194</v>
      </c>
      <c r="AL67" s="314">
        <f t="shared" si="47"/>
        <v>0.49999999962087194</v>
      </c>
      <c r="AM67" s="315">
        <f t="shared" si="48"/>
        <v>0</v>
      </c>
      <c r="AN67" s="313">
        <f t="shared" si="60"/>
        <v>0.97866621129258591</v>
      </c>
      <c r="AO67" s="314">
        <f t="shared" si="60"/>
        <v>0.96230101017527636</v>
      </c>
      <c r="AP67" s="314">
        <f t="shared" si="60"/>
        <v>0.93224103212162102</v>
      </c>
      <c r="AQ67" s="314">
        <f t="shared" si="60"/>
        <v>0.91535287882569383</v>
      </c>
      <c r="AR67" s="599">
        <f t="shared" si="60"/>
        <v>0</v>
      </c>
      <c r="AS67" s="319">
        <f t="shared" ca="1" si="50"/>
        <v>0.99999999924174388</v>
      </c>
      <c r="AT67" s="320">
        <f t="shared" ca="1" si="51"/>
        <v>0.99999999924174388</v>
      </c>
      <c r="AU67" s="320">
        <f t="shared" si="52"/>
        <v>0</v>
      </c>
      <c r="AV67" s="320">
        <f t="shared" ca="1" si="53"/>
        <v>0.99999999924174388</v>
      </c>
      <c r="AW67" s="321">
        <f t="shared" ca="1" si="54"/>
        <v>0</v>
      </c>
      <c r="AX67" s="310">
        <f t="shared" ca="1" si="55"/>
        <v>0.97866621055050629</v>
      </c>
      <c r="AY67" s="311">
        <f t="shared" ca="1" si="56"/>
        <v>0.9623010094456057</v>
      </c>
      <c r="AZ67" s="311">
        <f t="shared" si="57"/>
        <v>0</v>
      </c>
      <c r="BA67" s="320">
        <f t="shared" ca="1" si="61"/>
        <v>0.91535287813162192</v>
      </c>
      <c r="BB67" s="321">
        <f t="shared" ca="1" si="62"/>
        <v>0</v>
      </c>
      <c r="BC67" s="319">
        <f t="shared" ca="1" si="63"/>
        <v>2.1333789449493823E-2</v>
      </c>
      <c r="BD67" s="320">
        <f t="shared" ca="1" si="64"/>
        <v>0.33532220436396476</v>
      </c>
      <c r="BE67" s="320">
        <f t="shared" ca="1" si="65"/>
        <v>0.3297149653991413</v>
      </c>
      <c r="BF67" s="320">
        <f t="shared" ca="1" si="66"/>
        <v>0</v>
      </c>
      <c r="BG67" s="320">
        <f t="shared" ca="1" si="67"/>
        <v>0.31362904078740012</v>
      </c>
      <c r="BH67" s="321">
        <f t="shared" ca="1" si="68"/>
        <v>0</v>
      </c>
    </row>
    <row r="68" spans="1:60" x14ac:dyDescent="0.2">
      <c r="A68" s="227" t="str">
        <f>"Output generated: "&amp; TEXT(MAX($L$4,$L$5),"m/dd/yyyy hh:mm")</f>
        <v>Output generated: 8/27/2020 18:37</v>
      </c>
      <c r="E68" s="234"/>
      <c r="F68" s="234"/>
      <c r="G68" s="234"/>
      <c r="H68" s="322"/>
      <c r="I68" s="234"/>
      <c r="J68" s="234"/>
      <c r="K68" s="323"/>
      <c r="L68" s="323"/>
      <c r="M68" s="323"/>
      <c r="W68" s="227"/>
      <c r="X68" s="227"/>
      <c r="Y68" s="227"/>
    </row>
    <row r="69" spans="1:60" ht="13.5" thickBot="1" x14ac:dyDescent="0.25"/>
    <row r="70" spans="1:60" s="29" customFormat="1" ht="15" x14ac:dyDescent="0.25">
      <c r="A70" s="333"/>
      <c r="B70" s="1538" t="s">
        <v>251</v>
      </c>
      <c r="C70" s="1539"/>
      <c r="D70" s="1539"/>
      <c r="E70" s="1539"/>
      <c r="F70" s="1539"/>
      <c r="G70" s="1539"/>
      <c r="H70" s="1539"/>
      <c r="I70" s="1539"/>
      <c r="J70" s="1539"/>
      <c r="K70" s="1539"/>
      <c r="L70" s="1539"/>
      <c r="M70" s="1539"/>
      <c r="N70" s="1540"/>
      <c r="O70" s="1538" t="s">
        <v>252</v>
      </c>
      <c r="P70" s="1539"/>
      <c r="Q70" s="1539"/>
      <c r="R70" s="1539"/>
      <c r="S70" s="1539"/>
      <c r="T70" s="1539"/>
      <c r="U70" s="1539"/>
      <c r="V70" s="1539"/>
      <c r="W70" s="1539"/>
      <c r="X70" s="1539"/>
      <c r="Y70" s="1539"/>
      <c r="Z70" s="1539"/>
      <c r="AA70" s="1540"/>
    </row>
    <row r="71" spans="1:60" x14ac:dyDescent="0.2">
      <c r="A71" s="324"/>
      <c r="B71" s="1535" t="s">
        <v>121</v>
      </c>
      <c r="C71" s="1536"/>
      <c r="D71" s="1536"/>
      <c r="E71" s="1536"/>
      <c r="F71" s="1536"/>
      <c r="G71" s="1536"/>
      <c r="H71" s="1536"/>
      <c r="I71" s="1536"/>
      <c r="J71" s="1536"/>
      <c r="K71" s="1536"/>
      <c r="L71" s="1536"/>
      <c r="M71" s="382"/>
      <c r="N71" s="325"/>
      <c r="O71" s="1535" t="s">
        <v>121</v>
      </c>
      <c r="P71" s="1536"/>
      <c r="Q71" s="1536"/>
      <c r="R71" s="1536"/>
      <c r="S71" s="1536"/>
      <c r="T71" s="1536"/>
      <c r="U71" s="1536"/>
      <c r="V71" s="1536"/>
      <c r="W71" s="1536"/>
      <c r="X71" s="1536"/>
      <c r="Y71" s="1536"/>
      <c r="Z71" s="382"/>
      <c r="AA71" s="325"/>
      <c r="AC71" s="954" t="s">
        <v>267</v>
      </c>
      <c r="AD71" s="234" t="b">
        <f>INDEX(TECH_OPT_FUEL2_Cls1,MATCH(RIGHT(O70),TECH_OPT_ROWS_Cls1,0))&lt;&gt;"N/A"</f>
        <v>0</v>
      </c>
    </row>
    <row r="72" spans="1:60" s="228" customFormat="1" ht="13.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ht="13.5" thickTop="1" thickBot="1" x14ac:dyDescent="0.25">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09">
        <v>5.2963907111801883E-3</v>
      </c>
      <c r="Z73" s="384"/>
      <c r="AA73" s="336"/>
    </row>
    <row r="74" spans="1:60" s="228" customFormat="1" x14ac:dyDescent="0.2">
      <c r="A74" s="331" t="s">
        <v>125</v>
      </c>
      <c r="B74" s="923">
        <f t="array" ref="B74:L74">TRANSPOSE(Cls2CentVMTShr)</f>
        <v>6.3375455551975849E-3</v>
      </c>
      <c r="C74" s="924">
        <v>3.496913005496359E-2</v>
      </c>
      <c r="D74" s="924">
        <v>5.9955127131675522E-2</v>
      </c>
      <c r="E74" s="924">
        <v>8.4599669387910512E-2</v>
      </c>
      <c r="F74" s="924">
        <v>0.12702701008436962</v>
      </c>
      <c r="G74" s="924">
        <v>6.7204731283582092E-2</v>
      </c>
      <c r="H74" s="924">
        <v>8.8708982453757024E-2</v>
      </c>
      <c r="I74" s="924">
        <v>6.4694225377098208E-2</v>
      </c>
      <c r="J74" s="924">
        <v>3.2526447027526634E-2</v>
      </c>
      <c r="K74" s="924">
        <v>1.589064319454132E-2</v>
      </c>
      <c r="L74" s="1210">
        <v>3.2608183213810787E-2</v>
      </c>
      <c r="M74" s="1211"/>
      <c r="N74" s="1212"/>
      <c r="O74" s="923">
        <f t="array" ref="O74:Y74">TRANSPOSE(Cls2NCentVMTShr)</f>
        <v>8.1228463417563086E-3</v>
      </c>
      <c r="P74" s="924">
        <v>2.7563836768431361E-2</v>
      </c>
      <c r="Q74" s="924">
        <v>4.1883113088337191E-2</v>
      </c>
      <c r="R74" s="924">
        <v>6.4289357588678764E-2</v>
      </c>
      <c r="S74" s="924">
        <v>9.1183275251204537E-2</v>
      </c>
      <c r="T74" s="924">
        <v>5.1984283219922628E-2</v>
      </c>
      <c r="U74" s="924">
        <v>5.0286059545109812E-2</v>
      </c>
      <c r="V74" s="924">
        <v>1.5542287574292338E-2</v>
      </c>
      <c r="W74" s="924">
        <v>1.4506257462625264E-2</v>
      </c>
      <c r="X74" s="924">
        <v>4.9330966304706684E-3</v>
      </c>
      <c r="Y74" s="925">
        <v>1.5183891764738403E-2</v>
      </c>
      <c r="Z74" s="1211"/>
      <c r="AA74" s="1212"/>
      <c r="AB74" s="1551" t="str">
        <f>"% of miles on f2 for Tech "&amp; RIGHT(O69)&amp;" adopters"</f>
        <v>% of miles on f2 for Tech  adopters</v>
      </c>
      <c r="AC74" s="1552"/>
      <c r="AD74" s="1553"/>
      <c r="AE74" s="1173" t="s">
        <v>298</v>
      </c>
      <c r="AF74" s="1173"/>
      <c r="AG74" s="1173"/>
      <c r="AH74" s="1174" t="s">
        <v>297</v>
      </c>
      <c r="AI74" s="1175"/>
    </row>
    <row r="75" spans="1:60" ht="13.5" thickBot="1" x14ac:dyDescent="0.25">
      <c r="A75" s="942" t="s">
        <v>266</v>
      </c>
      <c r="B75" s="933">
        <f t="array" ref="B75:L75">TRANSPOSE(Cls2CentVMT/OPDAYS_Cls2)</f>
        <v>49.332453271995263</v>
      </c>
      <c r="C75" s="934">
        <v>120.11441047790339</v>
      </c>
      <c r="D75" s="934">
        <v>200.99157969807086</v>
      </c>
      <c r="E75" s="934">
        <v>280.98421424125928</v>
      </c>
      <c r="F75" s="934">
        <v>358.20644524895255</v>
      </c>
      <c r="G75" s="934">
        <v>432.82805471770689</v>
      </c>
      <c r="H75" s="934">
        <v>517.10615118099815</v>
      </c>
      <c r="I75" s="934">
        <v>597.8087063838957</v>
      </c>
      <c r="J75" s="934">
        <v>676.93419409560215</v>
      </c>
      <c r="K75" s="934">
        <v>746.82245226325631</v>
      </c>
      <c r="L75" s="935">
        <v>895.92826380844349</v>
      </c>
      <c r="M75" s="931"/>
      <c r="N75" s="932"/>
      <c r="O75" s="933">
        <f t="array" ref="O75:Y75">TRANSPOSE(Cls2NCentVMT/OPDAYS_Cls2)</f>
        <v>54.31462614952413</v>
      </c>
      <c r="P75" s="934">
        <v>126.62311644744663</v>
      </c>
      <c r="Q75" s="934">
        <v>206.96826351576016</v>
      </c>
      <c r="R75" s="934">
        <v>286.46600131499179</v>
      </c>
      <c r="S75" s="934">
        <v>358.9638908170715</v>
      </c>
      <c r="T75" s="934">
        <v>450.55545819643328</v>
      </c>
      <c r="U75" s="934">
        <v>511.93098482414172</v>
      </c>
      <c r="V75" s="934">
        <v>579.22933632093111</v>
      </c>
      <c r="W75" s="934">
        <v>695.25665569614875</v>
      </c>
      <c r="X75" s="934">
        <v>759.80682330760794</v>
      </c>
      <c r="Y75" s="1213">
        <v>882.81167173661356</v>
      </c>
      <c r="Z75" s="943"/>
      <c r="AA75" s="932"/>
      <c r="AB75" s="945" t="s">
        <v>186</v>
      </c>
      <c r="AC75" s="946" t="s">
        <v>15</v>
      </c>
      <c r="AD75" s="947" t="s">
        <v>18</v>
      </c>
      <c r="AE75" s="937" t="s">
        <v>186</v>
      </c>
      <c r="AF75" s="937" t="s">
        <v>15</v>
      </c>
      <c r="AG75" s="937" t="s">
        <v>18</v>
      </c>
      <c r="AH75" s="1172" t="s">
        <v>186</v>
      </c>
      <c r="AI75" s="937" t="s">
        <v>15</v>
      </c>
      <c r="AJ75" s="323"/>
      <c r="AK75" s="323"/>
      <c r="AL75" s="323"/>
      <c r="AM75" s="323"/>
    </row>
    <row r="76" spans="1:60" ht="13.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8">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49">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6">
        <f t="shared" ref="AD76:AD101" si="75">AB76*AH76+AC76*AI76</f>
        <v>0</v>
      </c>
      <c r="AE76" s="937">
        <f t="shared" ref="AE76:AE90" si="76">SUMPRODUCT($B$74:$L$74,B76:L76)</f>
        <v>0</v>
      </c>
      <c r="AF76" s="937">
        <f t="shared" ref="AF76:AF90" si="77">SUMPRODUCT($O$74:$Y$74,O76:Y76)</f>
        <v>0</v>
      </c>
      <c r="AG76" s="937">
        <f t="shared" ref="AG76:AG90" si="78">SUM(AE76:AF76)</f>
        <v>0</v>
      </c>
      <c r="AH76" s="1172">
        <f>IF(AG76&gt;0,AE76/AG76,0)</f>
        <v>0</v>
      </c>
      <c r="AI76" s="937">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8">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49">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6">
        <f t="shared" si="75"/>
        <v>0</v>
      </c>
      <c r="AE77" s="937">
        <f t="shared" si="76"/>
        <v>0</v>
      </c>
      <c r="AF77" s="937">
        <f t="shared" si="77"/>
        <v>0</v>
      </c>
      <c r="AG77" s="937">
        <f t="shared" si="78"/>
        <v>0</v>
      </c>
      <c r="AH77" s="1172">
        <f t="shared" ref="AH77:AH119" si="83">IF(AG77&gt;0,AE77/AG77,0)</f>
        <v>0</v>
      </c>
      <c r="AI77" s="937">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8">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49">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6">
        <f t="shared" si="75"/>
        <v>0</v>
      </c>
      <c r="AE78" s="937">
        <f t="shared" si="76"/>
        <v>0</v>
      </c>
      <c r="AF78" s="937">
        <f t="shared" si="77"/>
        <v>0</v>
      </c>
      <c r="AG78" s="937">
        <f t="shared" si="78"/>
        <v>0</v>
      </c>
      <c r="AH78" s="1172">
        <f t="shared" si="83"/>
        <v>0</v>
      </c>
      <c r="AI78" s="937">
        <f t="shared" si="84"/>
        <v>0</v>
      </c>
    </row>
    <row r="79" spans="1:60" ht="13.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8">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49">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6">
        <f t="shared" si="75"/>
        <v>0</v>
      </c>
      <c r="AE79" s="937">
        <f t="shared" si="76"/>
        <v>0</v>
      </c>
      <c r="AF79" s="937">
        <f t="shared" si="77"/>
        <v>0</v>
      </c>
      <c r="AG79" s="937">
        <f t="shared" si="78"/>
        <v>0</v>
      </c>
      <c r="AH79" s="1172">
        <f t="shared" si="83"/>
        <v>0</v>
      </c>
      <c r="AI79" s="937">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8">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49">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6">
        <f t="shared" si="75"/>
        <v>0</v>
      </c>
      <c r="AE80" s="937">
        <f t="shared" si="76"/>
        <v>0</v>
      </c>
      <c r="AF80" s="937">
        <f t="shared" si="77"/>
        <v>0</v>
      </c>
      <c r="AG80" s="937">
        <f t="shared" si="78"/>
        <v>0</v>
      </c>
      <c r="AH80" s="1172">
        <f t="shared" si="83"/>
        <v>0</v>
      </c>
      <c r="AI80" s="937">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8">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49">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6">
        <f t="shared" si="75"/>
        <v>0</v>
      </c>
      <c r="AE81" s="937">
        <f t="shared" si="76"/>
        <v>0</v>
      </c>
      <c r="AF81" s="937">
        <f t="shared" si="77"/>
        <v>0</v>
      </c>
      <c r="AG81" s="937">
        <f t="shared" si="78"/>
        <v>0</v>
      </c>
      <c r="AH81" s="1172">
        <f t="shared" si="83"/>
        <v>0</v>
      </c>
      <c r="AI81" s="937">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8">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49">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6">
        <f t="shared" si="75"/>
        <v>0</v>
      </c>
      <c r="AE82" s="937">
        <f t="shared" si="76"/>
        <v>0</v>
      </c>
      <c r="AF82" s="937">
        <f t="shared" si="77"/>
        <v>0</v>
      </c>
      <c r="AG82" s="937">
        <f t="shared" si="78"/>
        <v>0</v>
      </c>
      <c r="AH82" s="1172">
        <f t="shared" si="83"/>
        <v>0</v>
      </c>
      <c r="AI82" s="937">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8">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49">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6">
        <f t="shared" si="75"/>
        <v>0</v>
      </c>
      <c r="AE83" s="937">
        <f t="shared" si="76"/>
        <v>0</v>
      </c>
      <c r="AF83" s="937">
        <f t="shared" si="77"/>
        <v>0</v>
      </c>
      <c r="AG83" s="937">
        <f t="shared" si="78"/>
        <v>0</v>
      </c>
      <c r="AH83" s="1172">
        <f t="shared" si="83"/>
        <v>0</v>
      </c>
      <c r="AI83" s="937">
        <f t="shared" si="84"/>
        <v>0</v>
      </c>
    </row>
    <row r="84" spans="1:38" ht="13.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8">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49">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6">
        <f t="shared" si="75"/>
        <v>0</v>
      </c>
      <c r="AE84" s="937">
        <f t="shared" si="76"/>
        <v>0</v>
      </c>
      <c r="AF84" s="937">
        <f t="shared" si="77"/>
        <v>0</v>
      </c>
      <c r="AG84" s="937">
        <f t="shared" si="78"/>
        <v>0</v>
      </c>
      <c r="AH84" s="1172">
        <f t="shared" si="83"/>
        <v>0</v>
      </c>
      <c r="AI84" s="937">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8">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49">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6">
        <f t="shared" si="75"/>
        <v>0</v>
      </c>
      <c r="AE85" s="937">
        <f t="shared" si="76"/>
        <v>0</v>
      </c>
      <c r="AF85" s="937">
        <f t="shared" si="77"/>
        <v>0</v>
      </c>
      <c r="AG85" s="937">
        <f t="shared" si="78"/>
        <v>0</v>
      </c>
      <c r="AH85" s="1172">
        <f t="shared" si="83"/>
        <v>0</v>
      </c>
      <c r="AI85" s="937">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8">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49">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6">
        <f t="shared" si="75"/>
        <v>0</v>
      </c>
      <c r="AE86" s="937">
        <f t="shared" si="76"/>
        <v>0</v>
      </c>
      <c r="AF86" s="937">
        <f t="shared" si="77"/>
        <v>0</v>
      </c>
      <c r="AG86" s="937">
        <f t="shared" si="78"/>
        <v>0</v>
      </c>
      <c r="AH86" s="1172">
        <f t="shared" si="83"/>
        <v>0</v>
      </c>
      <c r="AI86" s="937">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8">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49">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6">
        <f t="shared" si="75"/>
        <v>0</v>
      </c>
      <c r="AE87" s="937">
        <f t="shared" si="76"/>
        <v>0</v>
      </c>
      <c r="AF87" s="937">
        <f t="shared" si="77"/>
        <v>0</v>
      </c>
      <c r="AG87" s="937">
        <f t="shared" si="78"/>
        <v>0</v>
      </c>
      <c r="AH87" s="1172">
        <f t="shared" si="83"/>
        <v>0</v>
      </c>
      <c r="AI87" s="937">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8">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49">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6">
        <f t="shared" si="75"/>
        <v>0</v>
      </c>
      <c r="AE88" s="937">
        <f t="shared" si="76"/>
        <v>0</v>
      </c>
      <c r="AF88" s="937">
        <f t="shared" si="77"/>
        <v>0</v>
      </c>
      <c r="AG88" s="937">
        <f t="shared" si="78"/>
        <v>0</v>
      </c>
      <c r="AH88" s="1172">
        <f t="shared" si="83"/>
        <v>0</v>
      </c>
      <c r="AI88" s="937">
        <f t="shared" si="84"/>
        <v>0</v>
      </c>
    </row>
    <row r="89" spans="1:38" ht="13.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8">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49">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6">
        <f t="shared" si="75"/>
        <v>0</v>
      </c>
      <c r="AE89" s="937">
        <f t="shared" si="76"/>
        <v>0</v>
      </c>
      <c r="AF89" s="937">
        <f t="shared" si="77"/>
        <v>0</v>
      </c>
      <c r="AG89" s="937">
        <f t="shared" si="78"/>
        <v>0</v>
      </c>
      <c r="AH89" s="1172">
        <f t="shared" si="83"/>
        <v>0</v>
      </c>
      <c r="AI89" s="937">
        <f t="shared" si="84"/>
        <v>0</v>
      </c>
    </row>
    <row r="90" spans="1:38" x14ac:dyDescent="0.2">
      <c r="A90" s="329">
        <v>2021</v>
      </c>
      <c r="B90" s="342">
        <v>0</v>
      </c>
      <c r="C90" s="343">
        <v>0</v>
      </c>
      <c r="D90" s="343">
        <v>0</v>
      </c>
      <c r="E90" s="343">
        <v>0</v>
      </c>
      <c r="F90" s="343">
        <v>0</v>
      </c>
      <c r="G90" s="343">
        <v>0</v>
      </c>
      <c r="H90" s="343">
        <v>0</v>
      </c>
      <c r="I90" s="343">
        <v>0</v>
      </c>
      <c r="J90" s="343">
        <v>0</v>
      </c>
      <c r="K90" s="343">
        <v>0</v>
      </c>
      <c r="L90" s="379">
        <v>0</v>
      </c>
      <c r="M90" s="282">
        <f t="shared" si="79"/>
        <v>0</v>
      </c>
      <c r="N90" s="284">
        <f t="shared" si="80"/>
        <v>0</v>
      </c>
      <c r="O90" s="342">
        <v>0</v>
      </c>
      <c r="P90" s="343">
        <v>0</v>
      </c>
      <c r="Q90" s="343">
        <v>0</v>
      </c>
      <c r="R90" s="343">
        <v>0</v>
      </c>
      <c r="S90" s="343">
        <v>0</v>
      </c>
      <c r="T90" s="343">
        <v>0</v>
      </c>
      <c r="U90" s="343">
        <v>0</v>
      </c>
      <c r="V90" s="343">
        <v>0</v>
      </c>
      <c r="W90" s="343">
        <v>0</v>
      </c>
      <c r="X90" s="343">
        <v>0</v>
      </c>
      <c r="Y90" s="379">
        <v>0</v>
      </c>
      <c r="Z90" s="282">
        <f t="shared" si="81"/>
        <v>0</v>
      </c>
      <c r="AA90" s="284">
        <f t="shared" si="82"/>
        <v>0</v>
      </c>
      <c r="AB90" s="948">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49">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6">
        <f t="shared" si="75"/>
        <v>0</v>
      </c>
      <c r="AE90" s="937">
        <f t="shared" si="76"/>
        <v>0</v>
      </c>
      <c r="AF90" s="937">
        <f t="shared" si="77"/>
        <v>0</v>
      </c>
      <c r="AG90" s="937">
        <f t="shared" si="78"/>
        <v>0</v>
      </c>
      <c r="AH90" s="1172">
        <f t="shared" si="83"/>
        <v>0</v>
      </c>
      <c r="AI90" s="937">
        <f t="shared" si="84"/>
        <v>0</v>
      </c>
    </row>
    <row r="91" spans="1:38" x14ac:dyDescent="0.2">
      <c r="A91" s="330">
        <v>2022</v>
      </c>
      <c r="B91" s="344">
        <v>0</v>
      </c>
      <c r="C91" s="345">
        <v>0</v>
      </c>
      <c r="D91" s="345">
        <v>0</v>
      </c>
      <c r="E91" s="345">
        <v>0</v>
      </c>
      <c r="F91" s="345">
        <v>0</v>
      </c>
      <c r="G91" s="345">
        <v>0</v>
      </c>
      <c r="H91" s="345">
        <v>0</v>
      </c>
      <c r="I91" s="345">
        <v>0</v>
      </c>
      <c r="J91" s="345">
        <v>0</v>
      </c>
      <c r="K91" s="345">
        <v>0</v>
      </c>
      <c r="L91" s="380">
        <v>0</v>
      </c>
      <c r="M91" s="296">
        <f t="shared" si="79"/>
        <v>0</v>
      </c>
      <c r="N91" s="298">
        <f t="shared" si="80"/>
        <v>0</v>
      </c>
      <c r="O91" s="344">
        <v>0</v>
      </c>
      <c r="P91" s="345">
        <v>0</v>
      </c>
      <c r="Q91" s="345">
        <v>0</v>
      </c>
      <c r="R91" s="345">
        <v>0</v>
      </c>
      <c r="S91" s="345">
        <v>0</v>
      </c>
      <c r="T91" s="345">
        <v>0</v>
      </c>
      <c r="U91" s="345">
        <v>0</v>
      </c>
      <c r="V91" s="345">
        <v>0</v>
      </c>
      <c r="W91" s="345">
        <v>0</v>
      </c>
      <c r="X91" s="345">
        <v>0</v>
      </c>
      <c r="Y91" s="380">
        <v>0</v>
      </c>
      <c r="Z91" s="296">
        <f t="shared" si="81"/>
        <v>0</v>
      </c>
      <c r="AA91" s="298">
        <f t="shared" si="82"/>
        <v>0</v>
      </c>
      <c r="AB91" s="948">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49">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6">
        <f t="shared" si="75"/>
        <v>0</v>
      </c>
      <c r="AE91" s="937">
        <f>SUMPRODUCT($B$74:$L$74,B91:L91)</f>
        <v>0</v>
      </c>
      <c r="AF91" s="937">
        <f>SUMPRODUCT($O$74:$Y$74,O91:Y91)</f>
        <v>0</v>
      </c>
      <c r="AG91" s="937">
        <f>SUM(AE91:AF91)</f>
        <v>0</v>
      </c>
      <c r="AH91" s="1172">
        <f t="shared" si="83"/>
        <v>0</v>
      </c>
      <c r="AI91" s="937">
        <f t="shared" si="84"/>
        <v>0</v>
      </c>
      <c r="AK91" s="1171"/>
      <c r="AL91" s="1171"/>
    </row>
    <row r="92" spans="1:38" x14ac:dyDescent="0.2">
      <c r="A92" s="330">
        <v>2023</v>
      </c>
      <c r="B92" s="344">
        <v>0</v>
      </c>
      <c r="C92" s="345">
        <v>0</v>
      </c>
      <c r="D92" s="345">
        <v>0</v>
      </c>
      <c r="E92" s="345">
        <v>0</v>
      </c>
      <c r="F92" s="345">
        <v>0</v>
      </c>
      <c r="G92" s="345">
        <v>0</v>
      </c>
      <c r="H92" s="345">
        <v>0</v>
      </c>
      <c r="I92" s="345">
        <v>0</v>
      </c>
      <c r="J92" s="345">
        <v>0</v>
      </c>
      <c r="K92" s="345">
        <v>0</v>
      </c>
      <c r="L92" s="380">
        <v>0</v>
      </c>
      <c r="M92" s="296">
        <f t="shared" si="79"/>
        <v>0</v>
      </c>
      <c r="N92" s="298">
        <f t="shared" si="80"/>
        <v>0</v>
      </c>
      <c r="O92" s="344">
        <v>0</v>
      </c>
      <c r="P92" s="345">
        <v>0</v>
      </c>
      <c r="Q92" s="345">
        <v>0</v>
      </c>
      <c r="R92" s="345">
        <v>0</v>
      </c>
      <c r="S92" s="345">
        <v>0</v>
      </c>
      <c r="T92" s="345">
        <v>0</v>
      </c>
      <c r="U92" s="345">
        <v>0</v>
      </c>
      <c r="V92" s="345">
        <v>0</v>
      </c>
      <c r="W92" s="345">
        <v>0</v>
      </c>
      <c r="X92" s="345">
        <v>0</v>
      </c>
      <c r="Y92" s="380">
        <v>0</v>
      </c>
      <c r="Z92" s="296">
        <f t="shared" si="81"/>
        <v>0</v>
      </c>
      <c r="AA92" s="298">
        <f t="shared" si="82"/>
        <v>0</v>
      </c>
      <c r="AB92" s="948">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49">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6">
        <f t="shared" si="75"/>
        <v>0</v>
      </c>
      <c r="AE92" s="937">
        <f t="shared" ref="AE92:AE119" si="85">SUMPRODUCT($B$74:$L$74,B92:L92)</f>
        <v>0</v>
      </c>
      <c r="AF92" s="937">
        <f t="shared" ref="AF92:AF119" si="86">SUMPRODUCT($O$74:$Y$74,O92:Y92)</f>
        <v>0</v>
      </c>
      <c r="AG92" s="937">
        <f t="shared" ref="AG92:AG119" si="87">SUM(AE92:AF92)</f>
        <v>0</v>
      </c>
      <c r="AH92" s="1172">
        <f t="shared" si="83"/>
        <v>0</v>
      </c>
      <c r="AI92" s="937">
        <f t="shared" si="84"/>
        <v>0</v>
      </c>
      <c r="AK92" s="1171"/>
      <c r="AL92" s="1171"/>
    </row>
    <row r="93" spans="1:38" x14ac:dyDescent="0.2">
      <c r="A93" s="330">
        <v>2024</v>
      </c>
      <c r="B93" s="344">
        <v>0</v>
      </c>
      <c r="C93" s="345">
        <v>0</v>
      </c>
      <c r="D93" s="345">
        <v>0</v>
      </c>
      <c r="E93" s="345">
        <v>0</v>
      </c>
      <c r="F93" s="345">
        <v>0</v>
      </c>
      <c r="G93" s="345">
        <v>0</v>
      </c>
      <c r="H93" s="345">
        <v>0</v>
      </c>
      <c r="I93" s="345">
        <v>0</v>
      </c>
      <c r="J93" s="345">
        <v>0</v>
      </c>
      <c r="K93" s="345">
        <v>0</v>
      </c>
      <c r="L93" s="380">
        <v>0</v>
      </c>
      <c r="M93" s="296">
        <f t="shared" si="79"/>
        <v>0</v>
      </c>
      <c r="N93" s="298">
        <f t="shared" si="80"/>
        <v>0</v>
      </c>
      <c r="O93" s="344">
        <v>0</v>
      </c>
      <c r="P93" s="345">
        <v>0</v>
      </c>
      <c r="Q93" s="345">
        <v>0</v>
      </c>
      <c r="R93" s="345">
        <v>0</v>
      </c>
      <c r="S93" s="345">
        <v>0</v>
      </c>
      <c r="T93" s="345">
        <v>0</v>
      </c>
      <c r="U93" s="345">
        <v>0</v>
      </c>
      <c r="V93" s="345">
        <v>0</v>
      </c>
      <c r="W93" s="345">
        <v>0</v>
      </c>
      <c r="X93" s="345">
        <v>0</v>
      </c>
      <c r="Y93" s="380">
        <v>0</v>
      </c>
      <c r="Z93" s="296">
        <f t="shared" si="81"/>
        <v>0</v>
      </c>
      <c r="AA93" s="298">
        <f t="shared" si="82"/>
        <v>0</v>
      </c>
      <c r="AB93" s="948">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49">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6">
        <f t="shared" si="75"/>
        <v>0</v>
      </c>
      <c r="AE93" s="937">
        <f t="shared" si="85"/>
        <v>0</v>
      </c>
      <c r="AF93" s="937">
        <f t="shared" si="86"/>
        <v>0</v>
      </c>
      <c r="AG93" s="937">
        <f t="shared" si="87"/>
        <v>0</v>
      </c>
      <c r="AH93" s="1172">
        <f t="shared" si="83"/>
        <v>0</v>
      </c>
      <c r="AI93" s="937">
        <f t="shared" si="84"/>
        <v>0</v>
      </c>
      <c r="AK93" s="1171"/>
      <c r="AL93" s="1171"/>
    </row>
    <row r="94" spans="1:38" ht="13.5" thickBot="1" x14ac:dyDescent="0.25">
      <c r="A94" s="328">
        <v>2025</v>
      </c>
      <c r="B94" s="346">
        <v>0</v>
      </c>
      <c r="C94" s="347">
        <v>0</v>
      </c>
      <c r="D94" s="347">
        <v>0</v>
      </c>
      <c r="E94" s="347">
        <v>0</v>
      </c>
      <c r="F94" s="347">
        <v>0</v>
      </c>
      <c r="G94" s="347">
        <v>0</v>
      </c>
      <c r="H94" s="347">
        <v>0</v>
      </c>
      <c r="I94" s="347">
        <v>0</v>
      </c>
      <c r="J94" s="347">
        <v>0</v>
      </c>
      <c r="K94" s="347">
        <v>0</v>
      </c>
      <c r="L94" s="381">
        <v>0</v>
      </c>
      <c r="M94" s="310">
        <f t="shared" si="79"/>
        <v>0</v>
      </c>
      <c r="N94" s="312">
        <f t="shared" si="80"/>
        <v>0</v>
      </c>
      <c r="O94" s="346">
        <v>0</v>
      </c>
      <c r="P94" s="347">
        <v>0</v>
      </c>
      <c r="Q94" s="347">
        <v>0</v>
      </c>
      <c r="R94" s="347">
        <v>0</v>
      </c>
      <c r="S94" s="347">
        <v>0</v>
      </c>
      <c r="T94" s="347">
        <v>0</v>
      </c>
      <c r="U94" s="347">
        <v>0</v>
      </c>
      <c r="V94" s="347">
        <v>0</v>
      </c>
      <c r="W94" s="347">
        <v>0</v>
      </c>
      <c r="X94" s="347">
        <v>0</v>
      </c>
      <c r="Y94" s="381">
        <v>0</v>
      </c>
      <c r="Z94" s="310">
        <f t="shared" si="81"/>
        <v>0</v>
      </c>
      <c r="AA94" s="312">
        <f t="shared" si="82"/>
        <v>0</v>
      </c>
      <c r="AB94" s="948">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49">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6">
        <f t="shared" si="75"/>
        <v>0</v>
      </c>
      <c r="AE94" s="937">
        <f t="shared" si="85"/>
        <v>0</v>
      </c>
      <c r="AF94" s="937">
        <f t="shared" si="86"/>
        <v>0</v>
      </c>
      <c r="AG94" s="937">
        <f t="shared" si="87"/>
        <v>0</v>
      </c>
      <c r="AH94" s="1172">
        <f t="shared" si="83"/>
        <v>0</v>
      </c>
      <c r="AI94" s="937">
        <f t="shared" si="84"/>
        <v>0</v>
      </c>
      <c r="AK94" s="1171"/>
      <c r="AL94" s="1171"/>
    </row>
    <row r="95" spans="1:38" x14ac:dyDescent="0.2">
      <c r="A95" s="329">
        <v>2026</v>
      </c>
      <c r="B95" s="342">
        <v>0</v>
      </c>
      <c r="C95" s="343">
        <v>0</v>
      </c>
      <c r="D95" s="343">
        <v>3.5052312790260446E-3</v>
      </c>
      <c r="E95" s="343">
        <v>1.095144424008929E-2</v>
      </c>
      <c r="F95" s="343">
        <v>1.7084946894843685E-2</v>
      </c>
      <c r="G95" s="343">
        <v>1.9488353506535799E-2</v>
      </c>
      <c r="H95" s="343">
        <v>2.0751644302949211E-2</v>
      </c>
      <c r="I95" s="343">
        <v>2.2663856965291444E-2</v>
      </c>
      <c r="J95" s="343">
        <v>2.2754935056404843E-2</v>
      </c>
      <c r="K95" s="343">
        <v>2.2846734441029155E-2</v>
      </c>
      <c r="L95" s="379">
        <v>2.3624385317511536E-2</v>
      </c>
      <c r="M95" s="282">
        <f t="shared" si="79"/>
        <v>9.797217131480726E-3</v>
      </c>
      <c r="N95" s="284">
        <f t="shared" si="80"/>
        <v>6.7375226035102124E-3</v>
      </c>
      <c r="O95" s="342">
        <v>0</v>
      </c>
      <c r="P95" s="343">
        <v>4.881886298617611E-5</v>
      </c>
      <c r="Q95" s="343">
        <v>5.1714239586918486E-3</v>
      </c>
      <c r="R95" s="343">
        <v>1.2263528128187807E-2</v>
      </c>
      <c r="S95" s="343">
        <v>1.7476023766935984E-2</v>
      </c>
      <c r="T95" s="343">
        <v>2.0526311911174749E-2</v>
      </c>
      <c r="U95" s="343">
        <v>2.1437979801070983E-2</v>
      </c>
      <c r="V95" s="343">
        <v>2.2663856965291444E-2</v>
      </c>
      <c r="W95" s="343">
        <v>2.323068775511104E-2</v>
      </c>
      <c r="X95" s="343">
        <v>2.3274091868634283E-2</v>
      </c>
      <c r="Y95" s="379">
        <v>2.3889257003293973E-2</v>
      </c>
      <c r="Z95" s="282">
        <f t="shared" si="81"/>
        <v>5.91173729784284E-3</v>
      </c>
      <c r="AA95" s="284">
        <f t="shared" si="82"/>
        <v>4.4273962129530008E-3</v>
      </c>
      <c r="AB95" s="948">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49">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6">
        <f t="shared" si="75"/>
        <v>0</v>
      </c>
      <c r="AE95" s="937">
        <f t="shared" si="85"/>
        <v>9.797217131480726E-3</v>
      </c>
      <c r="AF95" s="937">
        <f t="shared" si="86"/>
        <v>5.91173729784284E-3</v>
      </c>
      <c r="AG95" s="937">
        <f t="shared" si="87"/>
        <v>1.5708954429323567E-2</v>
      </c>
      <c r="AH95" s="1172">
        <f t="shared" si="83"/>
        <v>0.62367086081760292</v>
      </c>
      <c r="AI95" s="937">
        <f t="shared" si="84"/>
        <v>0.37632913918239697</v>
      </c>
      <c r="AK95" s="1171"/>
      <c r="AL95" s="1171"/>
    </row>
    <row r="96" spans="1:38" x14ac:dyDescent="0.2">
      <c r="A96" s="330">
        <v>2027</v>
      </c>
      <c r="B96" s="344">
        <v>0</v>
      </c>
      <c r="C96" s="345">
        <v>0</v>
      </c>
      <c r="D96" s="345">
        <v>1.4062963929645589E-3</v>
      </c>
      <c r="E96" s="345">
        <v>1.3235031284819501E-2</v>
      </c>
      <c r="F96" s="345">
        <v>2.5235015962694809E-2</v>
      </c>
      <c r="G96" s="345">
        <v>3.5999335547319697E-2</v>
      </c>
      <c r="H96" s="345">
        <v>4.3046486568852883E-2</v>
      </c>
      <c r="I96" s="345">
        <v>4.775038850008935E-2</v>
      </c>
      <c r="J96" s="345">
        <v>5.1340127609992771E-2</v>
      </c>
      <c r="K96" s="345">
        <v>5.452594175339965E-2</v>
      </c>
      <c r="L96" s="380">
        <v>5.628642103788669E-2</v>
      </c>
      <c r="M96" s="296">
        <f t="shared" si="79"/>
        <v>1.8108394822273621E-2</v>
      </c>
      <c r="N96" s="298">
        <f t="shared" si="80"/>
        <v>1.1446248158934231E-2</v>
      </c>
      <c r="O96" s="344">
        <v>0</v>
      </c>
      <c r="P96" s="345">
        <v>0</v>
      </c>
      <c r="Q96" s="345">
        <v>3.0705435133767341E-3</v>
      </c>
      <c r="R96" s="345">
        <v>1.4851945740580087E-2</v>
      </c>
      <c r="S96" s="345">
        <v>2.9000756100876306E-2</v>
      </c>
      <c r="T96" s="345">
        <v>3.8979348400192619E-2</v>
      </c>
      <c r="U96" s="345">
        <v>4.5045790112809236E-2</v>
      </c>
      <c r="V96" s="345">
        <v>4.775038850008935E-2</v>
      </c>
      <c r="W96" s="345">
        <v>5.1968027551334207E-2</v>
      </c>
      <c r="X96" s="345">
        <v>5.5923383460532279E-2</v>
      </c>
      <c r="Y96" s="380">
        <v>5.628642103788669E-2</v>
      </c>
      <c r="Z96" s="296">
        <f t="shared" si="81"/>
        <v>1.0645832905403838E-2</v>
      </c>
      <c r="AA96" s="298">
        <f t="shared" si="82"/>
        <v>7.3720868928514828E-3</v>
      </c>
      <c r="AB96" s="948">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49">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6">
        <f t="shared" si="75"/>
        <v>0</v>
      </c>
      <c r="AE96" s="937">
        <f t="shared" si="85"/>
        <v>1.8108394822273621E-2</v>
      </c>
      <c r="AF96" s="937">
        <f t="shared" si="86"/>
        <v>1.0645832905403838E-2</v>
      </c>
      <c r="AG96" s="937">
        <f t="shared" si="87"/>
        <v>2.875422772767746E-2</v>
      </c>
      <c r="AH96" s="1172">
        <f t="shared" si="83"/>
        <v>0.62976460344449925</v>
      </c>
      <c r="AI96" s="937">
        <f t="shared" si="84"/>
        <v>0.3702353965555007</v>
      </c>
      <c r="AK96" s="1171"/>
      <c r="AL96" s="1171"/>
    </row>
    <row r="97" spans="1:38" x14ac:dyDescent="0.2">
      <c r="A97" s="330">
        <v>2028</v>
      </c>
      <c r="B97" s="344">
        <v>0</v>
      </c>
      <c r="C97" s="345">
        <v>0</v>
      </c>
      <c r="D97" s="345">
        <v>1.4547130293163747E-2</v>
      </c>
      <c r="E97" s="345">
        <v>5.2410843263456595E-2</v>
      </c>
      <c r="F97" s="345">
        <v>7.8980813069749689E-2</v>
      </c>
      <c r="G97" s="345">
        <v>9.9722528443437972E-2</v>
      </c>
      <c r="H97" s="345">
        <v>0.11435748238487005</v>
      </c>
      <c r="I97" s="345">
        <v>0.11946520966015563</v>
      </c>
      <c r="J97" s="345">
        <v>0.12607279675931496</v>
      </c>
      <c r="K97" s="345">
        <v>0.12887452274848973</v>
      </c>
      <c r="L97" s="380">
        <v>0.1315898027304285</v>
      </c>
      <c r="M97" s="296">
        <f t="shared" si="79"/>
        <v>5.0353386020382862E-2</v>
      </c>
      <c r="N97" s="298">
        <f t="shared" si="80"/>
        <v>3.3795366658623163E-2</v>
      </c>
      <c r="O97" s="344">
        <v>0</v>
      </c>
      <c r="P97" s="345">
        <v>1.3364308556377757E-4</v>
      </c>
      <c r="Q97" s="345">
        <v>2.1917183930844762E-2</v>
      </c>
      <c r="R97" s="345">
        <v>5.8823672184202321E-2</v>
      </c>
      <c r="S97" s="345">
        <v>8.8386506552332086E-2</v>
      </c>
      <c r="T97" s="345">
        <v>0.10867946833456348</v>
      </c>
      <c r="U97" s="345">
        <v>0.11435748238487005</v>
      </c>
      <c r="V97" s="345">
        <v>0.11946520966015563</v>
      </c>
      <c r="W97" s="345">
        <v>0.12887452274848973</v>
      </c>
      <c r="X97" s="345">
        <v>0.13128552218033604</v>
      </c>
      <c r="Y97" s="380">
        <v>0.1315898027304285</v>
      </c>
      <c r="Z97" s="296">
        <f t="shared" si="81"/>
        <v>3.0534901431384556E-2</v>
      </c>
      <c r="AA97" s="298">
        <f t="shared" si="82"/>
        <v>2.2448762492155491E-2</v>
      </c>
      <c r="AB97" s="948">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49">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6">
        <f t="shared" si="75"/>
        <v>0</v>
      </c>
      <c r="AE97" s="937">
        <f t="shared" si="85"/>
        <v>5.0353386020382862E-2</v>
      </c>
      <c r="AF97" s="937">
        <f t="shared" si="86"/>
        <v>3.0534901431384556E-2</v>
      </c>
      <c r="AG97" s="937">
        <f t="shared" si="87"/>
        <v>8.0888287451767418E-2</v>
      </c>
      <c r="AH97" s="1172">
        <f t="shared" si="83"/>
        <v>0.62250527989491555</v>
      </c>
      <c r="AI97" s="937">
        <f t="shared" si="84"/>
        <v>0.37749472010508445</v>
      </c>
      <c r="AK97" s="1171"/>
      <c r="AL97" s="1171"/>
    </row>
    <row r="98" spans="1:38" x14ac:dyDescent="0.2">
      <c r="A98" s="330">
        <v>2029</v>
      </c>
      <c r="B98" s="344">
        <v>0</v>
      </c>
      <c r="C98" s="345">
        <v>2.9843457004014951E-4</v>
      </c>
      <c r="D98" s="345">
        <v>4.5112367078685586E-2</v>
      </c>
      <c r="E98" s="345">
        <v>0.11726549866643235</v>
      </c>
      <c r="F98" s="345">
        <v>0.17301932084454513</v>
      </c>
      <c r="G98" s="345">
        <v>0.19688747639200815</v>
      </c>
      <c r="H98" s="345">
        <v>0.21505120999062749</v>
      </c>
      <c r="I98" s="345">
        <v>0.2283945912590013</v>
      </c>
      <c r="J98" s="345">
        <v>0.23945287441481433</v>
      </c>
      <c r="K98" s="345">
        <v>0.24051679936711137</v>
      </c>
      <c r="L98" s="380">
        <v>0.24761690910558176</v>
      </c>
      <c r="M98" s="296">
        <f t="shared" si="79"/>
        <v>0.1013833136670015</v>
      </c>
      <c r="N98" s="298">
        <f t="shared" si="80"/>
        <v>7.0216579259960138E-2</v>
      </c>
      <c r="O98" s="344">
        <v>0</v>
      </c>
      <c r="P98" s="345">
        <v>1.4228158393103972E-3</v>
      </c>
      <c r="Q98" s="345">
        <v>6.4531627340421643E-2</v>
      </c>
      <c r="R98" s="345">
        <v>0.13391656299137261</v>
      </c>
      <c r="S98" s="345">
        <v>0.17673055406816224</v>
      </c>
      <c r="T98" s="345">
        <v>0.21248231481491758</v>
      </c>
      <c r="U98" s="345">
        <v>0.22654548374864902</v>
      </c>
      <c r="V98" s="345">
        <v>0.23848902821073584</v>
      </c>
      <c r="W98" s="345">
        <v>0.24393228842067216</v>
      </c>
      <c r="X98" s="345">
        <v>0.24760402970594356</v>
      </c>
      <c r="Y98" s="380">
        <v>0.24761690910558176</v>
      </c>
      <c r="Z98" s="296">
        <f t="shared" si="81"/>
        <v>6.2130557379991583E-2</v>
      </c>
      <c r="AA98" s="298">
        <f t="shared" si="82"/>
        <v>4.6942118086396471E-2</v>
      </c>
      <c r="AB98" s="948">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49">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6">
        <f t="shared" si="75"/>
        <v>0</v>
      </c>
      <c r="AE98" s="937">
        <f t="shared" si="85"/>
        <v>0.1013833136670015</v>
      </c>
      <c r="AF98" s="937">
        <f t="shared" si="86"/>
        <v>6.2130557379991583E-2</v>
      </c>
      <c r="AG98" s="937">
        <f t="shared" si="87"/>
        <v>0.16351387104699308</v>
      </c>
      <c r="AH98" s="1172">
        <f t="shared" si="83"/>
        <v>0.62002882702143625</v>
      </c>
      <c r="AI98" s="937">
        <f t="shared" si="84"/>
        <v>0.37997117297856381</v>
      </c>
      <c r="AK98" s="1171"/>
      <c r="AL98" s="1171"/>
    </row>
    <row r="99" spans="1:38" ht="13.5" thickBot="1" x14ac:dyDescent="0.25">
      <c r="A99" s="328">
        <v>2030</v>
      </c>
      <c r="B99" s="346">
        <v>0</v>
      </c>
      <c r="C99" s="347">
        <v>3.3731316048929766E-3</v>
      </c>
      <c r="D99" s="347">
        <v>0.10940690293556683</v>
      </c>
      <c r="E99" s="347">
        <v>0.24102378094636701</v>
      </c>
      <c r="F99" s="347">
        <v>0.28302321402766906</v>
      </c>
      <c r="G99" s="347">
        <v>0.3282667956294702</v>
      </c>
      <c r="H99" s="347">
        <v>0.33368402571941719</v>
      </c>
      <c r="I99" s="347">
        <v>0.34983934647451531</v>
      </c>
      <c r="J99" s="347">
        <v>0.36174725619039816</v>
      </c>
      <c r="K99" s="347">
        <v>0.36580318395752442</v>
      </c>
      <c r="L99" s="381">
        <v>0.36492163214555057</v>
      </c>
      <c r="M99" s="310">
        <f t="shared" si="79"/>
        <v>0.16679265507751323</v>
      </c>
      <c r="N99" s="312">
        <f t="shared" si="80"/>
        <v>0.12042593576672832</v>
      </c>
      <c r="O99" s="346">
        <v>0</v>
      </c>
      <c r="P99" s="347">
        <v>1.0695626406349532E-2</v>
      </c>
      <c r="Q99" s="347">
        <v>0.14005976662959102</v>
      </c>
      <c r="R99" s="347">
        <v>0.23995040512674387</v>
      </c>
      <c r="S99" s="347">
        <v>0.29503133609036147</v>
      </c>
      <c r="T99" s="347">
        <v>0.33098468706592554</v>
      </c>
      <c r="U99" s="347">
        <v>0.34843326199549668</v>
      </c>
      <c r="V99" s="347">
        <v>0.34983934647451531</v>
      </c>
      <c r="W99" s="347">
        <v>0.3572060359806653</v>
      </c>
      <c r="X99" s="347">
        <v>0.36176456124281514</v>
      </c>
      <c r="Y99" s="381">
        <v>0.36492163214555057</v>
      </c>
      <c r="Z99" s="310">
        <f t="shared" si="81"/>
        <v>0.10116104650061768</v>
      </c>
      <c r="AA99" s="312">
        <f t="shared" si="82"/>
        <v>7.9246509340016896E-2</v>
      </c>
      <c r="AB99" s="948">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49">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6">
        <f t="shared" si="75"/>
        <v>0</v>
      </c>
      <c r="AE99" s="937">
        <f t="shared" si="85"/>
        <v>0.16679265507751323</v>
      </c>
      <c r="AF99" s="937">
        <f t="shared" si="86"/>
        <v>0.10116104650061768</v>
      </c>
      <c r="AG99" s="937">
        <f t="shared" si="87"/>
        <v>0.26795370157813092</v>
      </c>
      <c r="AH99" s="1172">
        <f t="shared" si="83"/>
        <v>0.62246818795626613</v>
      </c>
      <c r="AI99" s="937">
        <f t="shared" si="84"/>
        <v>0.37753181204373387</v>
      </c>
      <c r="AK99" s="1171"/>
      <c r="AL99" s="1171"/>
    </row>
    <row r="100" spans="1:38" x14ac:dyDescent="0.2">
      <c r="A100" s="329">
        <v>2031</v>
      </c>
      <c r="B100" s="342">
        <v>0</v>
      </c>
      <c r="C100" s="343">
        <v>1.4903286538763577E-2</v>
      </c>
      <c r="D100" s="343">
        <v>0.19628447895346918</v>
      </c>
      <c r="E100" s="343">
        <v>0.30434677419995698</v>
      </c>
      <c r="F100" s="343">
        <v>0.36030653656035327</v>
      </c>
      <c r="G100" s="343">
        <v>0.40951665181143504</v>
      </c>
      <c r="H100" s="343">
        <v>0.42117803220620564</v>
      </c>
      <c r="I100" s="343">
        <v>0.43551335936746399</v>
      </c>
      <c r="J100" s="343">
        <v>0.44039591608982226</v>
      </c>
      <c r="K100" s="343">
        <v>0.44352719216270181</v>
      </c>
      <c r="L100" s="379">
        <v>0.4412156535665302</v>
      </c>
      <c r="M100" s="282">
        <f t="shared" si="79"/>
        <v>0.21262433268211151</v>
      </c>
      <c r="N100" s="284">
        <f t="shared" si="80"/>
        <v>0.15764039264309843</v>
      </c>
      <c r="O100" s="342">
        <v>0</v>
      </c>
      <c r="P100" s="343">
        <v>3.6265152877639373E-2</v>
      </c>
      <c r="Q100" s="343">
        <v>0.21955765615873238</v>
      </c>
      <c r="R100" s="343">
        <v>0.33494923981484809</v>
      </c>
      <c r="S100" s="343">
        <v>0.37374686640939719</v>
      </c>
      <c r="T100" s="343">
        <v>0.41948717095725374</v>
      </c>
      <c r="U100" s="343">
        <v>0.42117803220620564</v>
      </c>
      <c r="V100" s="343">
        <v>0.43551335936746399</v>
      </c>
      <c r="W100" s="343">
        <v>0.43553278275360313</v>
      </c>
      <c r="X100" s="343">
        <v>0.43933330425474093</v>
      </c>
      <c r="Y100" s="379">
        <v>0.4412156535665302</v>
      </c>
      <c r="Z100" s="282">
        <f t="shared" si="81"/>
        <v>0.13074809217729119</v>
      </c>
      <c r="AA100" s="284">
        <f t="shared" si="82"/>
        <v>0.10575221675489749</v>
      </c>
      <c r="AB100" s="948">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49">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6">
        <f t="shared" si="75"/>
        <v>0</v>
      </c>
      <c r="AE100" s="937">
        <f t="shared" si="85"/>
        <v>0.21262433268211151</v>
      </c>
      <c r="AF100" s="937">
        <f t="shared" si="86"/>
        <v>0.13074809217729119</v>
      </c>
      <c r="AG100" s="937">
        <f t="shared" si="87"/>
        <v>0.34337242485940267</v>
      </c>
      <c r="AH100" s="1172">
        <f t="shared" si="83"/>
        <v>0.61922366878811741</v>
      </c>
      <c r="AI100" s="937">
        <f t="shared" si="84"/>
        <v>0.38077633121188265</v>
      </c>
      <c r="AK100" s="1171"/>
      <c r="AL100" s="1171"/>
    </row>
    <row r="101" spans="1:38" x14ac:dyDescent="0.2">
      <c r="A101" s="330">
        <v>2032</v>
      </c>
      <c r="B101" s="344">
        <v>0</v>
      </c>
      <c r="C101" s="345">
        <v>3.0916753043657586E-2</v>
      </c>
      <c r="D101" s="345">
        <v>0.23732957808316388</v>
      </c>
      <c r="E101" s="345">
        <v>0.36205132565994913</v>
      </c>
      <c r="F101" s="345">
        <v>0.42718555852672635</v>
      </c>
      <c r="G101" s="345">
        <v>0.45342237139166858</v>
      </c>
      <c r="H101" s="345">
        <v>0.46376337948596275</v>
      </c>
      <c r="I101" s="345">
        <v>0.4648311159609691</v>
      </c>
      <c r="J101" s="345">
        <v>0.47076254914779686</v>
      </c>
      <c r="K101" s="345">
        <v>0.47487023390829869</v>
      </c>
      <c r="L101" s="380">
        <v>0.47404870661767967</v>
      </c>
      <c r="M101" s="296">
        <f t="shared" si="79"/>
        <v>0.24020387243222951</v>
      </c>
      <c r="N101" s="298">
        <f t="shared" si="80"/>
        <v>0.18184827513173035</v>
      </c>
      <c r="O101" s="344">
        <v>0</v>
      </c>
      <c r="P101" s="345">
        <v>6.0822140058916091E-2</v>
      </c>
      <c r="Q101" s="345">
        <v>0.26262589255303692</v>
      </c>
      <c r="R101" s="345">
        <v>0.36831184831052804</v>
      </c>
      <c r="S101" s="345">
        <v>0.41778334465961131</v>
      </c>
      <c r="T101" s="345">
        <v>0.4629015497323094</v>
      </c>
      <c r="U101" s="345">
        <v>0.46376337948596275</v>
      </c>
      <c r="V101" s="345">
        <v>0.4648311159609691</v>
      </c>
      <c r="W101" s="345">
        <v>0.47487023390829869</v>
      </c>
      <c r="X101" s="345">
        <v>0.47690456619685723</v>
      </c>
      <c r="Y101" s="380">
        <v>0.47637089688390771</v>
      </c>
      <c r="Z101" s="296">
        <f t="shared" si="81"/>
        <v>0.14553281470863572</v>
      </c>
      <c r="AA101" s="298">
        <f t="shared" si="82"/>
        <v>0.11941939322041552</v>
      </c>
      <c r="AB101" s="948">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49">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6">
        <f t="shared" si="75"/>
        <v>0</v>
      </c>
      <c r="AE101" s="937">
        <f t="shared" si="85"/>
        <v>0.24020387243222951</v>
      </c>
      <c r="AF101" s="937">
        <f t="shared" si="86"/>
        <v>0.14553281470863572</v>
      </c>
      <c r="AG101" s="937">
        <f t="shared" si="87"/>
        <v>0.38573668714086523</v>
      </c>
      <c r="AH101" s="1172">
        <f t="shared" si="83"/>
        <v>0.62271461450207011</v>
      </c>
      <c r="AI101" s="937">
        <f t="shared" si="84"/>
        <v>0.37728538549792989</v>
      </c>
      <c r="AK101" s="1171"/>
      <c r="AL101" s="1171"/>
    </row>
    <row r="102" spans="1:38" x14ac:dyDescent="0.2">
      <c r="A102" s="330">
        <v>2033</v>
      </c>
      <c r="B102" s="344">
        <v>0</v>
      </c>
      <c r="C102" s="345">
        <v>4.5566388931119181E-2</v>
      </c>
      <c r="D102" s="345">
        <v>0.27887679322466302</v>
      </c>
      <c r="E102" s="345">
        <v>0.38975150747432041</v>
      </c>
      <c r="F102" s="345">
        <v>0.4305542288587379</v>
      </c>
      <c r="G102" s="345">
        <v>0.45896517482960214</v>
      </c>
      <c r="H102" s="345">
        <v>0.47793773956365987</v>
      </c>
      <c r="I102" s="345">
        <v>0.49056836567633738</v>
      </c>
      <c r="J102" s="345">
        <v>0.4940557371309966</v>
      </c>
      <c r="K102" s="345">
        <v>0.4893829139093816</v>
      </c>
      <c r="L102" s="380">
        <v>0.4909290544827552</v>
      </c>
      <c r="M102" s="296">
        <f t="shared" si="79"/>
        <v>0.250812109413659</v>
      </c>
      <c r="N102" s="298">
        <f t="shared" si="80"/>
        <v>0.19241456648287442</v>
      </c>
      <c r="O102" s="344">
        <v>0</v>
      </c>
      <c r="P102" s="345">
        <v>7.664729201634865E-2</v>
      </c>
      <c r="Q102" s="345">
        <v>0.30551601299838482</v>
      </c>
      <c r="R102" s="345">
        <v>0.3956756772309023</v>
      </c>
      <c r="S102" s="345">
        <v>0.44388400785704801</v>
      </c>
      <c r="T102" s="345">
        <v>0.4691627406891854</v>
      </c>
      <c r="U102" s="345">
        <v>0.48513015693632927</v>
      </c>
      <c r="V102" s="345">
        <v>0.49056836567633738</v>
      </c>
      <c r="W102" s="345">
        <v>0.4893829139093816</v>
      </c>
      <c r="X102" s="345">
        <v>0.49147923768471474</v>
      </c>
      <c r="Y102" s="380">
        <v>0.4909290544827552</v>
      </c>
      <c r="Z102" s="296">
        <f t="shared" si="81"/>
        <v>0.15420795804628953</v>
      </c>
      <c r="AA102" s="298">
        <f t="shared" si="82"/>
        <v>0.12836658999577402</v>
      </c>
      <c r="AB102" s="948">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49">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6">
        <f>AB102*AH102+AC102*AI102</f>
        <v>0</v>
      </c>
      <c r="AE102" s="937">
        <f t="shared" si="85"/>
        <v>0.250812109413659</v>
      </c>
      <c r="AF102" s="937">
        <f t="shared" si="86"/>
        <v>0.15420795804628953</v>
      </c>
      <c r="AG102" s="937">
        <f t="shared" si="87"/>
        <v>0.40502006745994856</v>
      </c>
      <c r="AH102" s="1172">
        <f t="shared" si="83"/>
        <v>0.61925847523212219</v>
      </c>
      <c r="AI102" s="937">
        <f t="shared" si="84"/>
        <v>0.38074152476787776</v>
      </c>
      <c r="AK102" s="1171"/>
      <c r="AL102" s="1171"/>
    </row>
    <row r="103" spans="1:38" x14ac:dyDescent="0.2">
      <c r="A103" s="330">
        <v>2034</v>
      </c>
      <c r="B103" s="344">
        <v>0</v>
      </c>
      <c r="C103" s="345">
        <v>5.1208890883336196E-2</v>
      </c>
      <c r="D103" s="345">
        <v>0.27372862044210894</v>
      </c>
      <c r="E103" s="345">
        <v>0.41053285385093885</v>
      </c>
      <c r="F103" s="345">
        <v>0.45851859509007858</v>
      </c>
      <c r="G103" s="345">
        <v>0.46416314086672977</v>
      </c>
      <c r="H103" s="345">
        <v>0.47657736705208087</v>
      </c>
      <c r="I103" s="345">
        <v>0.49612372663755183</v>
      </c>
      <c r="J103" s="345">
        <v>0.49492444377570716</v>
      </c>
      <c r="K103" s="345">
        <v>0.49704439888321095</v>
      </c>
      <c r="L103" s="380">
        <v>0.49648786527340472</v>
      </c>
      <c r="M103" s="296">
        <f t="shared" si="79"/>
        <v>0.2569304033177523</v>
      </c>
      <c r="N103" s="298">
        <f t="shared" si="80"/>
        <v>0.19791517448474777</v>
      </c>
      <c r="O103" s="344">
        <v>0</v>
      </c>
      <c r="P103" s="345">
        <v>8.4469484944978593E-2</v>
      </c>
      <c r="Q103" s="345">
        <v>0.32693066213650984</v>
      </c>
      <c r="R103" s="345">
        <v>0.42630631623124976</v>
      </c>
      <c r="S103" s="345">
        <v>0.47068883344367818</v>
      </c>
      <c r="T103" s="345">
        <v>0.49082432475092369</v>
      </c>
      <c r="U103" s="345">
        <v>0.49062407011859388</v>
      </c>
      <c r="V103" s="345">
        <v>0.49064355306634583</v>
      </c>
      <c r="W103" s="345">
        <v>0.49492444377570716</v>
      </c>
      <c r="X103" s="345">
        <v>0.49704439888321095</v>
      </c>
      <c r="Y103" s="380">
        <v>0.49648786527340472</v>
      </c>
      <c r="Z103" s="296">
        <f t="shared" si="81"/>
        <v>0.16132959822896797</v>
      </c>
      <c r="AA103" s="298">
        <f t="shared" si="82"/>
        <v>0.13545158064332352</v>
      </c>
      <c r="AB103" s="948">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49">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6">
        <f t="shared" ref="AD103:AD119" si="88">AB103*AH103+AC103*AI103</f>
        <v>0</v>
      </c>
      <c r="AE103" s="937">
        <f t="shared" si="85"/>
        <v>0.2569304033177523</v>
      </c>
      <c r="AF103" s="937">
        <f t="shared" si="86"/>
        <v>0.16132959822896797</v>
      </c>
      <c r="AG103" s="937">
        <f t="shared" si="87"/>
        <v>0.41826000154672027</v>
      </c>
      <c r="AH103" s="1172">
        <f t="shared" si="83"/>
        <v>0.6142839438809039</v>
      </c>
      <c r="AI103" s="937">
        <f t="shared" si="84"/>
        <v>0.3857160561190961</v>
      </c>
      <c r="AK103" s="1171"/>
      <c r="AL103" s="1171"/>
    </row>
    <row r="104" spans="1:38" ht="13.5" thickBot="1" x14ac:dyDescent="0.25">
      <c r="A104" s="328">
        <v>2035</v>
      </c>
      <c r="B104" s="346">
        <v>0</v>
      </c>
      <c r="C104" s="347">
        <v>5.6875920768103126E-2</v>
      </c>
      <c r="D104" s="347">
        <v>0.29240900250633517</v>
      </c>
      <c r="E104" s="347">
        <v>0.41221263303014855</v>
      </c>
      <c r="F104" s="347">
        <v>0.45074687156315296</v>
      </c>
      <c r="G104" s="347">
        <v>0.48442529872439938</v>
      </c>
      <c r="H104" s="347">
        <v>0.49262836052261311</v>
      </c>
      <c r="I104" s="347">
        <v>0.49264750079330044</v>
      </c>
      <c r="J104" s="347">
        <v>0.49694578180652565</v>
      </c>
      <c r="K104" s="347">
        <v>0.49907429338082626</v>
      </c>
      <c r="L104" s="381">
        <v>0.49851537170948013</v>
      </c>
      <c r="M104" s="310">
        <f t="shared" si="79"/>
        <v>0.26012825407359147</v>
      </c>
      <c r="N104" s="312">
        <f t="shared" si="80"/>
        <v>0.20121302664338064</v>
      </c>
      <c r="O104" s="346">
        <v>0</v>
      </c>
      <c r="P104" s="347">
        <v>9.3980144083560258E-2</v>
      </c>
      <c r="Q104" s="347">
        <v>0.3282703928240514</v>
      </c>
      <c r="R104" s="347">
        <v>0.41760816369193027</v>
      </c>
      <c r="S104" s="347">
        <v>0.4632286705071561</v>
      </c>
      <c r="T104" s="347">
        <v>0.48532503003404509</v>
      </c>
      <c r="U104" s="347">
        <v>0.49262836052261311</v>
      </c>
      <c r="V104" s="347">
        <v>0.49264750079330044</v>
      </c>
      <c r="W104" s="347">
        <v>0.49907429338082626</v>
      </c>
      <c r="X104" s="347">
        <v>0.49907429338082626</v>
      </c>
      <c r="Y104" s="381">
        <v>0.49652599049181217</v>
      </c>
      <c r="Z104" s="310">
        <f t="shared" si="81"/>
        <v>0.16032526809358288</v>
      </c>
      <c r="AA104" s="312">
        <f t="shared" si="82"/>
        <v>0.13490065559457795</v>
      </c>
      <c r="AB104" s="948">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49">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6">
        <f t="shared" si="88"/>
        <v>0</v>
      </c>
      <c r="AE104" s="937">
        <f t="shared" si="85"/>
        <v>0.26012825407359147</v>
      </c>
      <c r="AF104" s="937">
        <f t="shared" si="86"/>
        <v>0.16032526809358288</v>
      </c>
      <c r="AG104" s="937">
        <f t="shared" si="87"/>
        <v>0.42045352216717435</v>
      </c>
      <c r="AH104" s="1172">
        <f t="shared" si="83"/>
        <v>0.61868492082738036</v>
      </c>
      <c r="AI104" s="937">
        <f t="shared" si="84"/>
        <v>0.38131507917261964</v>
      </c>
      <c r="AK104" s="1171"/>
      <c r="AL104" s="1171"/>
    </row>
    <row r="105" spans="1:38" x14ac:dyDescent="0.2">
      <c r="A105" s="329">
        <v>2036</v>
      </c>
      <c r="B105" s="342">
        <v>0</v>
      </c>
      <c r="C105" s="343">
        <v>6.9994712477943657E-2</v>
      </c>
      <c r="D105" s="343">
        <v>0.3106667252919067</v>
      </c>
      <c r="E105" s="343">
        <v>0.41816038135532302</v>
      </c>
      <c r="F105" s="343">
        <v>0.46383667825609953</v>
      </c>
      <c r="G105" s="343">
        <v>0.47703717440906396</v>
      </c>
      <c r="H105" s="343">
        <v>0.49327114419974599</v>
      </c>
      <c r="I105" s="343">
        <v>0.49328870704338007</v>
      </c>
      <c r="J105" s="343">
        <v>0.49759222485759902</v>
      </c>
      <c r="K105" s="343">
        <v>0.49972311928740804</v>
      </c>
      <c r="L105" s="379">
        <v>0.49717067377393931</v>
      </c>
      <c r="M105" s="282">
        <f t="shared" si="79"/>
        <v>0.2634370621647753</v>
      </c>
      <c r="N105" s="284">
        <f t="shared" si="80"/>
        <v>0.20574793182672438</v>
      </c>
      <c r="O105" s="342">
        <v>0</v>
      </c>
      <c r="P105" s="343">
        <v>0.11219800725614737</v>
      </c>
      <c r="Q105" s="343">
        <v>0.33697626481704812</v>
      </c>
      <c r="R105" s="343">
        <v>0.4333136557524348</v>
      </c>
      <c r="S105" s="343">
        <v>0.45501102934804721</v>
      </c>
      <c r="T105" s="343">
        <v>0.48595875321221882</v>
      </c>
      <c r="U105" s="343">
        <v>0.48707412262275473</v>
      </c>
      <c r="V105" s="343">
        <v>0.49328870704338007</v>
      </c>
      <c r="W105" s="343">
        <v>0.49972311928740804</v>
      </c>
      <c r="X105" s="343">
        <v>0.49672941753298977</v>
      </c>
      <c r="Y105" s="379">
        <v>0.49717067377393931</v>
      </c>
      <c r="Z105" s="282">
        <f t="shared" si="81"/>
        <v>0.16122367793804845</v>
      </c>
      <c r="AA105" s="284">
        <f t="shared" si="82"/>
        <v>0.13696966144242159</v>
      </c>
      <c r="AB105" s="948">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49">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6">
        <f t="shared" si="88"/>
        <v>0</v>
      </c>
      <c r="AE105" s="937">
        <f t="shared" si="85"/>
        <v>0.2634370621647753</v>
      </c>
      <c r="AF105" s="937">
        <f t="shared" si="86"/>
        <v>0.16122367793804845</v>
      </c>
      <c r="AG105" s="937">
        <f t="shared" si="87"/>
        <v>0.42466074010282373</v>
      </c>
      <c r="AH105" s="1172">
        <f t="shared" si="83"/>
        <v>0.6203471083787705</v>
      </c>
      <c r="AI105" s="937">
        <f t="shared" si="84"/>
        <v>0.3796528916212295</v>
      </c>
      <c r="AK105" s="1171"/>
      <c r="AL105" s="1171"/>
    </row>
    <row r="106" spans="1:38" x14ac:dyDescent="0.2">
      <c r="A106" s="330">
        <v>2037</v>
      </c>
      <c r="B106" s="344">
        <v>0</v>
      </c>
      <c r="C106" s="345">
        <v>7.6510572235248417E-2</v>
      </c>
      <c r="D106" s="345">
        <v>0.32886136638233066</v>
      </c>
      <c r="E106" s="345">
        <v>0.41833944280387247</v>
      </c>
      <c r="F106" s="345">
        <v>0.46403253738241212</v>
      </c>
      <c r="G106" s="345">
        <v>0.47723691441021637</v>
      </c>
      <c r="H106" s="345">
        <v>0.4872767408980499</v>
      </c>
      <c r="I106" s="345">
        <v>0.50255404231413525</v>
      </c>
      <c r="J106" s="345">
        <v>0.49390851793887619</v>
      </c>
      <c r="K106" s="345">
        <v>0.49993033820099275</v>
      </c>
      <c r="L106" s="380">
        <v>0.49737632912952096</v>
      </c>
      <c r="M106" s="296">
        <f t="shared" si="79"/>
        <v>0.26476706680567019</v>
      </c>
      <c r="N106" s="298">
        <f t="shared" si="80"/>
        <v>0.20799219339587033</v>
      </c>
      <c r="O106" s="344">
        <v>0</v>
      </c>
      <c r="P106" s="345">
        <v>0.12047663123590868</v>
      </c>
      <c r="Q106" s="345">
        <v>0.35492381782724014</v>
      </c>
      <c r="R106" s="345">
        <v>0.42350579797339011</v>
      </c>
      <c r="S106" s="345">
        <v>0.47532848359007351</v>
      </c>
      <c r="T106" s="345">
        <v>0.47934700887027215</v>
      </c>
      <c r="U106" s="345">
        <v>0.49900781203284739</v>
      </c>
      <c r="V106" s="345">
        <v>0.49779879415733691</v>
      </c>
      <c r="W106" s="345">
        <v>0.49993033820099275</v>
      </c>
      <c r="X106" s="345">
        <v>0.49936975423774155</v>
      </c>
      <c r="Y106" s="380">
        <v>0.49737632912952096</v>
      </c>
      <c r="Z106" s="296">
        <f t="shared" si="81"/>
        <v>0.16377128126949977</v>
      </c>
      <c r="AA106" s="298">
        <f t="shared" si="82"/>
        <v>0.13972552347627676</v>
      </c>
      <c r="AB106" s="948">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49">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6">
        <f t="shared" si="88"/>
        <v>0</v>
      </c>
      <c r="AE106" s="937">
        <f t="shared" si="85"/>
        <v>0.26476706680567019</v>
      </c>
      <c r="AF106" s="937">
        <f t="shared" si="86"/>
        <v>0.16377128126949977</v>
      </c>
      <c r="AG106" s="937">
        <f t="shared" si="87"/>
        <v>0.42853834807516999</v>
      </c>
      <c r="AH106" s="1172">
        <f t="shared" si="83"/>
        <v>0.61783751208007964</v>
      </c>
      <c r="AI106" s="937">
        <f t="shared" si="84"/>
        <v>0.38216248791992036</v>
      </c>
      <c r="AK106" s="1171"/>
      <c r="AL106" s="1171"/>
    </row>
    <row r="107" spans="1:38" x14ac:dyDescent="0.2">
      <c r="A107" s="330">
        <v>2038</v>
      </c>
      <c r="B107" s="344">
        <v>0</v>
      </c>
      <c r="C107" s="345">
        <v>9.2148040700903808E-2</v>
      </c>
      <c r="D107" s="345">
        <v>0.30989040513082711</v>
      </c>
      <c r="E107" s="345">
        <v>0.43349093718817627</v>
      </c>
      <c r="F107" s="345">
        <v>0.45518838617544372</v>
      </c>
      <c r="G107" s="345">
        <v>0.48614611620279052</v>
      </c>
      <c r="H107" s="345">
        <v>0.49899063362053409</v>
      </c>
      <c r="I107" s="345">
        <v>0.49778026866416453</v>
      </c>
      <c r="J107" s="345">
        <v>0.49991137002333086</v>
      </c>
      <c r="K107" s="345">
        <v>0.49691562007470141</v>
      </c>
      <c r="L107" s="380">
        <v>0.49735667680467832</v>
      </c>
      <c r="M107" s="296">
        <f t="shared" si="79"/>
        <v>0.26581059165326948</v>
      </c>
      <c r="N107" s="298">
        <f t="shared" si="80"/>
        <v>0.20904501637444953</v>
      </c>
      <c r="O107" s="344">
        <v>0</v>
      </c>
      <c r="P107" s="345">
        <v>0.12869056182062216</v>
      </c>
      <c r="Q107" s="345">
        <v>0.34488718459174561</v>
      </c>
      <c r="R107" s="345">
        <v>0.43796103202154602</v>
      </c>
      <c r="S107" s="345">
        <v>0.46685036541762759</v>
      </c>
      <c r="T107" s="345">
        <v>0.49346058862962866</v>
      </c>
      <c r="U107" s="345">
        <v>0.49347567413406845</v>
      </c>
      <c r="V107" s="345">
        <v>0.49778026866416453</v>
      </c>
      <c r="W107" s="345">
        <v>0.49691562007470141</v>
      </c>
      <c r="X107" s="345">
        <v>0.49935039573853018</v>
      </c>
      <c r="Y107" s="380">
        <v>0.49735667680467832</v>
      </c>
      <c r="Z107" s="296">
        <f t="shared" si="81"/>
        <v>0.1641446592040427</v>
      </c>
      <c r="AA107" s="298">
        <f t="shared" si="82"/>
        <v>0.14030093499878263</v>
      </c>
      <c r="AB107" s="948">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49">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6">
        <f t="shared" si="88"/>
        <v>0</v>
      </c>
      <c r="AE107" s="937">
        <f t="shared" si="85"/>
        <v>0.26581059165326948</v>
      </c>
      <c r="AF107" s="937">
        <f t="shared" si="86"/>
        <v>0.1641446592040427</v>
      </c>
      <c r="AG107" s="937">
        <f t="shared" si="87"/>
        <v>0.42995525085731218</v>
      </c>
      <c r="AH107" s="1172">
        <f t="shared" si="83"/>
        <v>0.6182285042995862</v>
      </c>
      <c r="AI107" s="937">
        <f t="shared" si="84"/>
        <v>0.3817714957004138</v>
      </c>
      <c r="AK107" s="1171"/>
      <c r="AL107" s="1171"/>
    </row>
    <row r="108" spans="1:38" x14ac:dyDescent="0.2">
      <c r="A108" s="330">
        <v>2039</v>
      </c>
      <c r="B108" s="344">
        <v>0</v>
      </c>
      <c r="C108" s="345">
        <v>0.10956339907316524</v>
      </c>
      <c r="D108" s="345">
        <v>0.32729315127976255</v>
      </c>
      <c r="E108" s="345">
        <v>0.42338050872884275</v>
      </c>
      <c r="F108" s="345">
        <v>0.46671758609676428</v>
      </c>
      <c r="G108" s="345">
        <v>0.47919059648851081</v>
      </c>
      <c r="H108" s="345">
        <v>0.49333113168815124</v>
      </c>
      <c r="I108" s="345">
        <v>0.49763396376986202</v>
      </c>
      <c r="J108" s="345">
        <v>0.49976389741051791</v>
      </c>
      <c r="K108" s="345">
        <v>0.49920247539843737</v>
      </c>
      <c r="L108" s="380">
        <v>0.4972087941657572</v>
      </c>
      <c r="M108" s="296">
        <f t="shared" si="79"/>
        <v>0.26711991941749913</v>
      </c>
      <c r="N108" s="298">
        <f t="shared" si="80"/>
        <v>0.21190122824474383</v>
      </c>
      <c r="O108" s="344">
        <v>0</v>
      </c>
      <c r="P108" s="345">
        <v>0.14928504666024678</v>
      </c>
      <c r="Q108" s="345">
        <v>0.352176100207164</v>
      </c>
      <c r="R108" s="345">
        <v>0.42847967295234124</v>
      </c>
      <c r="S108" s="345">
        <v>0.47708545145853715</v>
      </c>
      <c r="T108" s="345">
        <v>0.48711699374368739</v>
      </c>
      <c r="U108" s="345">
        <v>0.49333113168815124</v>
      </c>
      <c r="V108" s="345">
        <v>0.49763396376986202</v>
      </c>
      <c r="W108" s="345">
        <v>0.49657777217565019</v>
      </c>
      <c r="X108" s="345">
        <v>0.4964920623342931</v>
      </c>
      <c r="Y108" s="380">
        <v>0.49284167956487385</v>
      </c>
      <c r="Z108" s="296">
        <f t="shared" si="81"/>
        <v>0.16491445669469967</v>
      </c>
      <c r="AA108" s="298">
        <f t="shared" si="82"/>
        <v>0.14201827512811055</v>
      </c>
      <c r="AB108" s="948">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49">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6">
        <f t="shared" si="88"/>
        <v>0</v>
      </c>
      <c r="AE108" s="937">
        <f t="shared" si="85"/>
        <v>0.26711991941749913</v>
      </c>
      <c r="AF108" s="937">
        <f t="shared" si="86"/>
        <v>0.16491445669469967</v>
      </c>
      <c r="AG108" s="937">
        <f t="shared" si="87"/>
        <v>0.4320343761121988</v>
      </c>
      <c r="AH108" s="1172">
        <f t="shared" si="83"/>
        <v>0.61828394726656755</v>
      </c>
      <c r="AI108" s="937">
        <f t="shared" si="84"/>
        <v>0.38171605273343245</v>
      </c>
      <c r="AK108" s="1171"/>
      <c r="AL108" s="1171"/>
    </row>
    <row r="109" spans="1:38" ht="13.5" thickBot="1" x14ac:dyDescent="0.25">
      <c r="A109" s="328">
        <v>2040</v>
      </c>
      <c r="B109" s="346">
        <v>0</v>
      </c>
      <c r="C109" s="347">
        <v>0.11051546558220553</v>
      </c>
      <c r="D109" s="347">
        <v>0.33481468371440826</v>
      </c>
      <c r="E109" s="347">
        <v>0.43763523600261584</v>
      </c>
      <c r="F109" s="347">
        <v>0.45866052800898638</v>
      </c>
      <c r="G109" s="347">
        <v>0.49307684741848468</v>
      </c>
      <c r="H109" s="347">
        <v>0.49308650513208724</v>
      </c>
      <c r="I109" s="347">
        <v>0.49349610349834644</v>
      </c>
      <c r="J109" s="347">
        <v>0.4962807466638397</v>
      </c>
      <c r="K109" s="347">
        <v>0.4959285984354565</v>
      </c>
      <c r="L109" s="381">
        <v>0.489864744856501</v>
      </c>
      <c r="M109" s="310">
        <f t="shared" si="79"/>
        <v>0.26802567889411999</v>
      </c>
      <c r="N109" s="312">
        <f t="shared" si="80"/>
        <v>0.21347711328238156</v>
      </c>
      <c r="O109" s="346">
        <v>0</v>
      </c>
      <c r="P109" s="347">
        <v>0.17112765492609389</v>
      </c>
      <c r="Q109" s="347">
        <v>0.36906849063732605</v>
      </c>
      <c r="R109" s="347">
        <v>0.44205125783262694</v>
      </c>
      <c r="S109" s="347">
        <v>0.47685373824521671</v>
      </c>
      <c r="T109" s="347">
        <v>0.48687610580823865</v>
      </c>
      <c r="U109" s="347">
        <v>0.49714325665966652</v>
      </c>
      <c r="V109" s="347">
        <v>0.49208834797113687</v>
      </c>
      <c r="W109" s="347">
        <v>0.49175505651273732</v>
      </c>
      <c r="X109" s="347">
        <v>0.48419633580889637</v>
      </c>
      <c r="Y109" s="381">
        <v>0.47036625764509782</v>
      </c>
      <c r="Z109" s="310">
        <f t="shared" si="81"/>
        <v>0.16669651165112584</v>
      </c>
      <c r="AA109" s="312">
        <f t="shared" si="82"/>
        <v>0.14534123565349799</v>
      </c>
      <c r="AB109" s="948">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49">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6">
        <f t="shared" si="88"/>
        <v>0</v>
      </c>
      <c r="AE109" s="937">
        <f t="shared" si="85"/>
        <v>0.26802567889411999</v>
      </c>
      <c r="AF109" s="937">
        <f t="shared" si="86"/>
        <v>0.16669651165112584</v>
      </c>
      <c r="AG109" s="937">
        <f t="shared" si="87"/>
        <v>0.43472219054524586</v>
      </c>
      <c r="AH109" s="1172">
        <f t="shared" si="83"/>
        <v>0.61654473758965822</v>
      </c>
      <c r="AI109" s="937">
        <f t="shared" si="84"/>
        <v>0.38345526241034178</v>
      </c>
      <c r="AK109" s="1171"/>
      <c r="AL109" s="1171"/>
    </row>
    <row r="110" spans="1:38" x14ac:dyDescent="0.2">
      <c r="A110" s="329">
        <v>2041</v>
      </c>
      <c r="B110" s="342">
        <v>0</v>
      </c>
      <c r="C110" s="343">
        <v>0.1400488770330332</v>
      </c>
      <c r="D110" s="343">
        <v>0.36884210503741888</v>
      </c>
      <c r="E110" s="343">
        <v>0.44176087599328656</v>
      </c>
      <c r="F110" s="343">
        <v>0.46917948156291067</v>
      </c>
      <c r="G110" s="343">
        <v>0.48641758030817589</v>
      </c>
      <c r="H110" s="343">
        <v>0.49552524485678662</v>
      </c>
      <c r="I110" s="343">
        <v>0.49314856787037425</v>
      </c>
      <c r="J110" s="343">
        <v>0.48492700984276138</v>
      </c>
      <c r="K110" s="343">
        <v>0.47385815663401687</v>
      </c>
      <c r="L110" s="379">
        <v>0.45069700524448641</v>
      </c>
      <c r="M110" s="282">
        <f t="shared" si="79"/>
        <v>0.27053289521997442</v>
      </c>
      <c r="N110" s="284">
        <f t="shared" si="80"/>
        <v>0.21982892904511997</v>
      </c>
      <c r="O110" s="342">
        <v>0</v>
      </c>
      <c r="P110" s="343">
        <v>0.19395936121644589</v>
      </c>
      <c r="Q110" s="343">
        <v>0.37557395407592586</v>
      </c>
      <c r="R110" s="343">
        <v>0.45454028773482374</v>
      </c>
      <c r="S110" s="343">
        <v>0.48525407131045667</v>
      </c>
      <c r="T110" s="343">
        <v>0.48960211182107832</v>
      </c>
      <c r="U110" s="343">
        <v>0.48826034653914974</v>
      </c>
      <c r="V110" s="343">
        <v>0.47743788173681528</v>
      </c>
      <c r="W110" s="343">
        <v>0.45787263493742059</v>
      </c>
      <c r="X110" s="343">
        <v>0.44790823294674187</v>
      </c>
      <c r="Y110" s="379">
        <v>0.42854595948492025</v>
      </c>
      <c r="Z110" s="282">
        <f t="shared" si="81"/>
        <v>0.16732899816120417</v>
      </c>
      <c r="AA110" s="284">
        <f t="shared" si="82"/>
        <v>0.14799267019295864</v>
      </c>
      <c r="AB110" s="948">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49">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6">
        <f t="shared" si="88"/>
        <v>0</v>
      </c>
      <c r="AE110" s="937">
        <f t="shared" si="85"/>
        <v>0.27053289521997442</v>
      </c>
      <c r="AF110" s="937">
        <f t="shared" si="86"/>
        <v>0.16732899816120417</v>
      </c>
      <c r="AG110" s="937">
        <f t="shared" si="87"/>
        <v>0.43786189338117859</v>
      </c>
      <c r="AH110" s="1172">
        <f t="shared" si="83"/>
        <v>0.61784982733006022</v>
      </c>
      <c r="AI110" s="937">
        <f t="shared" si="84"/>
        <v>0.38215017266993978</v>
      </c>
      <c r="AK110" s="1171"/>
      <c r="AL110" s="1171"/>
    </row>
    <row r="111" spans="1:38" x14ac:dyDescent="0.2">
      <c r="A111" s="330">
        <v>2042</v>
      </c>
      <c r="B111" s="344">
        <v>0</v>
      </c>
      <c r="C111" s="345">
        <v>0.15447600843998605</v>
      </c>
      <c r="D111" s="345">
        <v>0.37528854367030245</v>
      </c>
      <c r="E111" s="345">
        <v>0.45413186072497519</v>
      </c>
      <c r="F111" s="345">
        <v>0.47631158920275463</v>
      </c>
      <c r="G111" s="345">
        <v>0.48168856465879539</v>
      </c>
      <c r="H111" s="345">
        <v>0.46579533416003072</v>
      </c>
      <c r="I111" s="345">
        <v>0.45090215379558585</v>
      </c>
      <c r="J111" s="345">
        <v>0.43671398273624862</v>
      </c>
      <c r="K111" s="345">
        <v>0.42400006656558681</v>
      </c>
      <c r="L111" s="380">
        <v>0.40331868523284031</v>
      </c>
      <c r="M111" s="296">
        <f t="shared" si="79"/>
        <v>0.26378283011264925</v>
      </c>
      <c r="N111" s="298">
        <f t="shared" si="80"/>
        <v>0.21886474183827481</v>
      </c>
      <c r="O111" s="344">
        <v>2.3294583273086132E-4</v>
      </c>
      <c r="P111" s="345">
        <v>0.2103474769062163</v>
      </c>
      <c r="Q111" s="345">
        <v>0.381912275474658</v>
      </c>
      <c r="R111" s="345">
        <v>0.4648686614675997</v>
      </c>
      <c r="S111" s="345">
        <v>0.46387189043564792</v>
      </c>
      <c r="T111" s="345">
        <v>0.4580028746261437</v>
      </c>
      <c r="U111" s="345">
        <v>0.44774362461954353</v>
      </c>
      <c r="V111" s="345">
        <v>0.43603112761084428</v>
      </c>
      <c r="W111" s="345">
        <v>0.41627177295749795</v>
      </c>
      <c r="X111" s="345">
        <v>0.40331868523284031</v>
      </c>
      <c r="Y111" s="380">
        <v>0.39151488423344771</v>
      </c>
      <c r="Z111" s="296">
        <f t="shared" si="81"/>
        <v>0.16105302668247432</v>
      </c>
      <c r="AA111" s="298">
        <f t="shared" si="82"/>
        <v>0.14529517764257527</v>
      </c>
      <c r="AB111" s="948">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49">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6">
        <f t="shared" si="88"/>
        <v>0</v>
      </c>
      <c r="AE111" s="937">
        <f t="shared" si="85"/>
        <v>0.26378283011264925</v>
      </c>
      <c r="AF111" s="937">
        <f t="shared" si="86"/>
        <v>0.16105302668247432</v>
      </c>
      <c r="AG111" s="937">
        <f t="shared" si="87"/>
        <v>0.42483585679512359</v>
      </c>
      <c r="AH111" s="1172">
        <f t="shared" si="83"/>
        <v>0.62090528822725544</v>
      </c>
      <c r="AI111" s="937">
        <f t="shared" si="84"/>
        <v>0.37909471177274445</v>
      </c>
      <c r="AK111" s="1171"/>
      <c r="AL111" s="1171"/>
    </row>
    <row r="112" spans="1:38" x14ac:dyDescent="0.2">
      <c r="A112" s="330">
        <v>2043</v>
      </c>
      <c r="B112" s="344">
        <v>0</v>
      </c>
      <c r="C112" s="345">
        <v>0.17467023626112951</v>
      </c>
      <c r="D112" s="345">
        <v>0.38159584306009914</v>
      </c>
      <c r="E112" s="345">
        <v>0.45389470078281663</v>
      </c>
      <c r="F112" s="345">
        <v>0.45225019563873747</v>
      </c>
      <c r="G112" s="345">
        <v>0.44290883455450419</v>
      </c>
      <c r="H112" s="345">
        <v>0.42783914639346471</v>
      </c>
      <c r="I112" s="345">
        <v>0.41129293642812864</v>
      </c>
      <c r="J112" s="345">
        <v>0.39833360988438099</v>
      </c>
      <c r="K112" s="345">
        <v>0.38952203945882596</v>
      </c>
      <c r="L112" s="380">
        <v>0.37453021933713243</v>
      </c>
      <c r="M112" s="296">
        <f t="shared" si="79"/>
        <v>0.25051993056033478</v>
      </c>
      <c r="N112" s="298">
        <f t="shared" si="80"/>
        <v>0.21230931033318159</v>
      </c>
      <c r="O112" s="344">
        <v>7.1349905601354312E-4</v>
      </c>
      <c r="P112" s="345">
        <v>0.23362651271275087</v>
      </c>
      <c r="Q112" s="345">
        <v>0.38774756229402924</v>
      </c>
      <c r="R112" s="345">
        <v>0.43775187536290328</v>
      </c>
      <c r="S112" s="345">
        <v>0.44722402930910604</v>
      </c>
      <c r="T112" s="345">
        <v>0.42464420424206295</v>
      </c>
      <c r="U112" s="345">
        <v>0.41053246832933049</v>
      </c>
      <c r="V112" s="345">
        <v>0.39833360988438099</v>
      </c>
      <c r="W112" s="345">
        <v>0.38170045709868716</v>
      </c>
      <c r="X112" s="345">
        <v>0.37802288035609954</v>
      </c>
      <c r="Y112" s="380">
        <v>0.36818595477488325</v>
      </c>
      <c r="Z112" s="296">
        <f t="shared" si="81"/>
        <v>0.15350991675159861</v>
      </c>
      <c r="AA112" s="298">
        <f t="shared" si="82"/>
        <v>0.14104665177186626</v>
      </c>
      <c r="AB112" s="948">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49">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6">
        <f t="shared" si="88"/>
        <v>0</v>
      </c>
      <c r="AE112" s="937">
        <f t="shared" si="85"/>
        <v>0.25051993056033478</v>
      </c>
      <c r="AF112" s="937">
        <f t="shared" si="86"/>
        <v>0.15350991675159861</v>
      </c>
      <c r="AG112" s="937">
        <f t="shared" si="87"/>
        <v>0.40402984731193337</v>
      </c>
      <c r="AH112" s="1172">
        <f t="shared" si="83"/>
        <v>0.6200530288221987</v>
      </c>
      <c r="AI112" s="937">
        <f t="shared" si="84"/>
        <v>0.3799469711778013</v>
      </c>
      <c r="AK112" s="1171"/>
      <c r="AL112" s="1171"/>
    </row>
    <row r="113" spans="1:39" x14ac:dyDescent="0.2">
      <c r="A113" s="330">
        <v>2044</v>
      </c>
      <c r="B113" s="344">
        <v>0</v>
      </c>
      <c r="C113" s="345">
        <v>0.19579705200809178</v>
      </c>
      <c r="D113" s="345">
        <v>0.38600592350749457</v>
      </c>
      <c r="E113" s="345">
        <v>0.42188166115986869</v>
      </c>
      <c r="F113" s="345">
        <v>0.42153170457020023</v>
      </c>
      <c r="G113" s="345">
        <v>0.40749074453417322</v>
      </c>
      <c r="H113" s="345">
        <v>0.3927174317677472</v>
      </c>
      <c r="I113" s="345">
        <v>0.38082416693408955</v>
      </c>
      <c r="J113" s="345">
        <v>0.3726089689419243</v>
      </c>
      <c r="K113" s="345">
        <v>0.36564095403051927</v>
      </c>
      <c r="L113" s="380">
        <v>0.35961870571980747</v>
      </c>
      <c r="M113" s="296">
        <f t="shared" si="79"/>
        <v>0.23574327064271047</v>
      </c>
      <c r="N113" s="298">
        <f t="shared" si="80"/>
        <v>0.20301743000328629</v>
      </c>
      <c r="O113" s="344">
        <v>1.7161184631404227E-3</v>
      </c>
      <c r="P113" s="345">
        <v>0.24127336468992422</v>
      </c>
      <c r="Q113" s="345">
        <v>0.39438373639630614</v>
      </c>
      <c r="R113" s="345">
        <v>0.41687509300856068</v>
      </c>
      <c r="S113" s="345">
        <v>0.40432660540888499</v>
      </c>
      <c r="T113" s="345">
        <v>0.38950581175967447</v>
      </c>
      <c r="U113" s="345">
        <v>0.37998904428781116</v>
      </c>
      <c r="V113" s="345">
        <v>0.37306428975832479</v>
      </c>
      <c r="W113" s="345">
        <v>0.36250096907668533</v>
      </c>
      <c r="X113" s="345">
        <v>0.35961870571980747</v>
      </c>
      <c r="Y113" s="380">
        <v>0.35471280611935718</v>
      </c>
      <c r="Z113" s="296">
        <f t="shared" si="81"/>
        <v>0.14442392580176686</v>
      </c>
      <c r="AA113" s="298">
        <f t="shared" si="82"/>
        <v>0.13460802884492237</v>
      </c>
      <c r="AB113" s="948">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49">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6">
        <f t="shared" si="88"/>
        <v>0</v>
      </c>
      <c r="AE113" s="937">
        <f t="shared" si="85"/>
        <v>0.23574327064271047</v>
      </c>
      <c r="AF113" s="937">
        <f t="shared" si="86"/>
        <v>0.14442392580176686</v>
      </c>
      <c r="AG113" s="937">
        <f t="shared" si="87"/>
        <v>0.38016719644447733</v>
      </c>
      <c r="AH113" s="1172">
        <f t="shared" si="83"/>
        <v>0.62010418796651834</v>
      </c>
      <c r="AI113" s="937">
        <f t="shared" si="84"/>
        <v>0.37989581203348166</v>
      </c>
      <c r="AK113" s="1171"/>
      <c r="AL113" s="1171"/>
    </row>
    <row r="114" spans="1:39" ht="13.5" thickBot="1" x14ac:dyDescent="0.25">
      <c r="A114" s="328">
        <v>2045</v>
      </c>
      <c r="B114" s="346">
        <v>2.819362450185142E-4</v>
      </c>
      <c r="C114" s="347">
        <v>0.20295787797709144</v>
      </c>
      <c r="D114" s="347">
        <v>0.38040360407207457</v>
      </c>
      <c r="E114" s="347">
        <v>0.37872638703827699</v>
      </c>
      <c r="F114" s="347">
        <v>0.38747027877414331</v>
      </c>
      <c r="G114" s="347">
        <v>0.38133686378635884</v>
      </c>
      <c r="H114" s="347">
        <v>0.36804120055190648</v>
      </c>
      <c r="I114" s="347">
        <v>0.3617755944108727</v>
      </c>
      <c r="J114" s="347">
        <v>0.3552117883222678</v>
      </c>
      <c r="K114" s="347">
        <v>0.35256168391818948</v>
      </c>
      <c r="L114" s="381">
        <v>0.34820543357312683</v>
      </c>
      <c r="M114" s="310">
        <f t="shared" si="79"/>
        <v>0.22135706141477871</v>
      </c>
      <c r="N114" s="312">
        <f t="shared" si="80"/>
        <v>0.19177534746810307</v>
      </c>
      <c r="O114" s="346">
        <v>2.8419035793986231E-3</v>
      </c>
      <c r="P114" s="347">
        <v>0.24822928115323858</v>
      </c>
      <c r="Q114" s="347">
        <v>0.37153099154852665</v>
      </c>
      <c r="R114" s="347">
        <v>0.35885108506798713</v>
      </c>
      <c r="S114" s="347">
        <v>0.38063396200127553</v>
      </c>
      <c r="T114" s="347">
        <v>0.37192175280639395</v>
      </c>
      <c r="U114" s="347">
        <v>0.35984663191555</v>
      </c>
      <c r="V114" s="347">
        <v>0.35814727286905751</v>
      </c>
      <c r="W114" s="347">
        <v>0.35021863728335301</v>
      </c>
      <c r="X114" s="347">
        <v>0.34820543357312683</v>
      </c>
      <c r="Y114" s="381">
        <v>0.34654716706971467</v>
      </c>
      <c r="Z114" s="310">
        <f t="shared" si="81"/>
        <v>0.13525967757384166</v>
      </c>
      <c r="AA114" s="312">
        <f t="shared" si="82"/>
        <v>0.12633655939898225</v>
      </c>
      <c r="AB114" s="948">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49">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6">
        <f t="shared" si="88"/>
        <v>0</v>
      </c>
      <c r="AE114" s="937">
        <f t="shared" si="85"/>
        <v>0.22135706141477871</v>
      </c>
      <c r="AF114" s="937">
        <f t="shared" si="86"/>
        <v>0.13525967757384166</v>
      </c>
      <c r="AG114" s="937">
        <f t="shared" si="87"/>
        <v>0.35661673898862034</v>
      </c>
      <c r="AH114" s="1172">
        <f t="shared" si="83"/>
        <v>0.62071416513581612</v>
      </c>
      <c r="AI114" s="937">
        <f t="shared" si="84"/>
        <v>0.37928583486418399</v>
      </c>
      <c r="AK114" s="1171"/>
      <c r="AL114" s="1171"/>
    </row>
    <row r="115" spans="1:39" x14ac:dyDescent="0.2">
      <c r="A115" s="329">
        <v>2046</v>
      </c>
      <c r="B115" s="342">
        <v>4.1105422200464714E-4</v>
      </c>
      <c r="C115" s="343">
        <v>0.21625120804548653</v>
      </c>
      <c r="D115" s="343">
        <v>0.3344360995798944</v>
      </c>
      <c r="E115" s="343">
        <v>0.31845572336805972</v>
      </c>
      <c r="F115" s="343">
        <v>0.37352242220634529</v>
      </c>
      <c r="G115" s="343">
        <v>0.36193428735231925</v>
      </c>
      <c r="H115" s="343">
        <v>0.35361763586826661</v>
      </c>
      <c r="I115" s="343">
        <v>0.35213507012699952</v>
      </c>
      <c r="J115" s="343">
        <v>0.34708363900142386</v>
      </c>
      <c r="K115" s="343">
        <v>0.34504777281272248</v>
      </c>
      <c r="L115" s="379">
        <v>0.34208385408144371</v>
      </c>
      <c r="M115" s="282">
        <f t="shared" si="79"/>
        <v>0.20840559036394107</v>
      </c>
      <c r="N115" s="284">
        <f t="shared" si="80"/>
        <v>0.17938959638074961</v>
      </c>
      <c r="O115" s="342">
        <v>3.1250144279371382E-3</v>
      </c>
      <c r="P115" s="343">
        <v>0.25643674766201446</v>
      </c>
      <c r="Q115" s="343">
        <v>0.31457827903472274</v>
      </c>
      <c r="R115" s="343">
        <v>0.31160735435127407</v>
      </c>
      <c r="S115" s="343">
        <v>0.36486497682979147</v>
      </c>
      <c r="T115" s="343">
        <v>0.35789279416505443</v>
      </c>
      <c r="U115" s="343">
        <v>0.35254254747087788</v>
      </c>
      <c r="V115" s="343">
        <v>0.3494536657322922</v>
      </c>
      <c r="W115" s="343">
        <v>0.34504777281272248</v>
      </c>
      <c r="X115" s="343">
        <v>0.34337119984096953</v>
      </c>
      <c r="Y115" s="379">
        <v>0.34208385408144371</v>
      </c>
      <c r="Z115" s="282">
        <f t="shared" si="81"/>
        <v>0.12722938717324234</v>
      </c>
      <c r="AA115" s="284">
        <f t="shared" si="82"/>
        <v>0.11799454021379026</v>
      </c>
      <c r="AB115" s="948">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49">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6">
        <f t="shared" si="88"/>
        <v>0</v>
      </c>
      <c r="AE115" s="937">
        <f t="shared" si="85"/>
        <v>0.20840559036394107</v>
      </c>
      <c r="AF115" s="937">
        <f t="shared" si="86"/>
        <v>0.12722938717324234</v>
      </c>
      <c r="AG115" s="937">
        <f t="shared" si="87"/>
        <v>0.33563497753718341</v>
      </c>
      <c r="AH115" s="1172">
        <f t="shared" si="83"/>
        <v>0.62092929614540193</v>
      </c>
      <c r="AI115" s="937">
        <f t="shared" si="84"/>
        <v>0.37907070385459812</v>
      </c>
      <c r="AK115" s="1171"/>
      <c r="AL115" s="1171"/>
    </row>
    <row r="116" spans="1:39" x14ac:dyDescent="0.2">
      <c r="A116" s="330">
        <v>2047</v>
      </c>
      <c r="B116" s="344">
        <v>7.129930769951907E-4</v>
      </c>
      <c r="C116" s="345">
        <v>0.21933872388721395</v>
      </c>
      <c r="D116" s="345">
        <v>0.29965326119851032</v>
      </c>
      <c r="E116" s="345">
        <v>0.28327085219187592</v>
      </c>
      <c r="F116" s="345">
        <v>0.35889113142370976</v>
      </c>
      <c r="G116" s="345">
        <v>0.35120548694635378</v>
      </c>
      <c r="H116" s="345">
        <v>0.34593837413968132</v>
      </c>
      <c r="I116" s="345">
        <v>0.3450248965690676</v>
      </c>
      <c r="J116" s="345">
        <v>0.34297464753278573</v>
      </c>
      <c r="K116" s="345">
        <v>0.34128646750786135</v>
      </c>
      <c r="L116" s="380">
        <v>0.33912738724550434</v>
      </c>
      <c r="M116" s="296">
        <f t="shared" si="79"/>
        <v>0.19944280629131211</v>
      </c>
      <c r="N116" s="298">
        <f t="shared" si="80"/>
        <v>0.17034917634799929</v>
      </c>
      <c r="O116" s="344">
        <v>4.0980827709527204E-3</v>
      </c>
      <c r="P116" s="345">
        <v>0.24782082234347699</v>
      </c>
      <c r="Q116" s="345">
        <v>0.29016786316494603</v>
      </c>
      <c r="R116" s="345">
        <v>0.28099047137329258</v>
      </c>
      <c r="S116" s="345">
        <v>0.35120380575749649</v>
      </c>
      <c r="T116" s="345">
        <v>0.3496290702899269</v>
      </c>
      <c r="U116" s="345">
        <v>0.34541632254382598</v>
      </c>
      <c r="V116" s="345">
        <v>0.34297464753278573</v>
      </c>
      <c r="W116" s="345">
        <v>0.33999035490409218</v>
      </c>
      <c r="X116" s="345">
        <v>0.33999035490409218</v>
      </c>
      <c r="Y116" s="380">
        <v>0.33912738724550434</v>
      </c>
      <c r="Z116" s="296">
        <f t="shared" si="81"/>
        <v>0.12173984381928213</v>
      </c>
      <c r="AA116" s="298">
        <f t="shared" si="82"/>
        <v>0.1121385368224035</v>
      </c>
      <c r="AB116" s="948">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49">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6">
        <f t="shared" si="88"/>
        <v>0</v>
      </c>
      <c r="AE116" s="937">
        <f t="shared" si="85"/>
        <v>0.19944280629131211</v>
      </c>
      <c r="AF116" s="937">
        <f t="shared" si="86"/>
        <v>0.12173984381928213</v>
      </c>
      <c r="AG116" s="937">
        <f t="shared" si="87"/>
        <v>0.32118265011059421</v>
      </c>
      <c r="AH116" s="1172">
        <f t="shared" si="83"/>
        <v>0.62096382299179953</v>
      </c>
      <c r="AI116" s="937">
        <f t="shared" si="84"/>
        <v>0.37903617700820053</v>
      </c>
      <c r="AK116" s="1171"/>
      <c r="AL116" s="1171"/>
    </row>
    <row r="117" spans="1:39" x14ac:dyDescent="0.2">
      <c r="A117" s="330">
        <v>2048</v>
      </c>
      <c r="B117" s="344">
        <v>8.532140306667012E-4</v>
      </c>
      <c r="C117" s="345">
        <v>0.1897976088653428</v>
      </c>
      <c r="D117" s="345">
        <v>0.27107911696065068</v>
      </c>
      <c r="E117" s="345">
        <v>0.26699867731610255</v>
      </c>
      <c r="F117" s="345">
        <v>0.3499741626516778</v>
      </c>
      <c r="G117" s="345">
        <v>0.34371497473527929</v>
      </c>
      <c r="H117" s="345">
        <v>0.34410911166963182</v>
      </c>
      <c r="I117" s="345">
        <v>0.34166133068263566</v>
      </c>
      <c r="J117" s="345">
        <v>0.33996597463119399</v>
      </c>
      <c r="K117" s="345">
        <v>0.33866444489455821</v>
      </c>
      <c r="L117" s="380">
        <v>0.33779791490642974</v>
      </c>
      <c r="M117" s="296">
        <f t="shared" si="79"/>
        <v>0.19312203300215486</v>
      </c>
      <c r="N117" s="298">
        <f t="shared" si="80"/>
        <v>0.1619556996305678</v>
      </c>
      <c r="O117" s="344">
        <v>5.5368565440087562E-3</v>
      </c>
      <c r="P117" s="345">
        <v>0.21138978131387107</v>
      </c>
      <c r="Q117" s="345">
        <v>0.26251996614216577</v>
      </c>
      <c r="R117" s="345">
        <v>0.26558209664291144</v>
      </c>
      <c r="S117" s="345">
        <v>0.34449228005932181</v>
      </c>
      <c r="T117" s="345">
        <v>0.34561963146903868</v>
      </c>
      <c r="U117" s="345">
        <v>0.34204531951461076</v>
      </c>
      <c r="V117" s="345">
        <v>0.33996597463119399</v>
      </c>
      <c r="W117" s="345">
        <v>0.33866444489455821</v>
      </c>
      <c r="X117" s="345">
        <v>0.33779791490642974</v>
      </c>
      <c r="Y117" s="380">
        <v>0.33744808131359744</v>
      </c>
      <c r="Z117" s="296">
        <f t="shared" si="81"/>
        <v>0.11750654625209239</v>
      </c>
      <c r="AA117" s="298">
        <f t="shared" si="82"/>
        <v>0.10615887355125146</v>
      </c>
      <c r="AB117" s="948">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49">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6">
        <f t="shared" si="88"/>
        <v>0</v>
      </c>
      <c r="AE117" s="937">
        <f t="shared" si="85"/>
        <v>0.19312203300215486</v>
      </c>
      <c r="AF117" s="937">
        <f t="shared" si="86"/>
        <v>0.11750654625209239</v>
      </c>
      <c r="AG117" s="937">
        <f t="shared" si="87"/>
        <v>0.31062857925424725</v>
      </c>
      <c r="AH117" s="1172">
        <f t="shared" si="83"/>
        <v>0.62171366673922768</v>
      </c>
      <c r="AI117" s="937">
        <f t="shared" si="84"/>
        <v>0.37828633326077227</v>
      </c>
      <c r="AK117" s="1171"/>
      <c r="AL117" s="1171"/>
    </row>
    <row r="118" spans="1:39" x14ac:dyDescent="0.2">
      <c r="A118" s="330">
        <v>2049</v>
      </c>
      <c r="B118" s="344">
        <v>8.3219360004433004E-4</v>
      </c>
      <c r="C118" s="345">
        <v>0.19042803380146217</v>
      </c>
      <c r="D118" s="345">
        <v>0.24839943030007786</v>
      </c>
      <c r="E118" s="345">
        <v>0.26413620056117154</v>
      </c>
      <c r="F118" s="345">
        <v>0.34567302078060458</v>
      </c>
      <c r="G118" s="345">
        <v>0.34481329229146424</v>
      </c>
      <c r="H118" s="345">
        <v>0.3412278796528066</v>
      </c>
      <c r="I118" s="345">
        <v>0.33914587833577881</v>
      </c>
      <c r="J118" s="345">
        <v>0.3378410395764363</v>
      </c>
      <c r="K118" s="345">
        <v>0.33697233413506794</v>
      </c>
      <c r="L118" s="380">
        <v>0.33662162852909511</v>
      </c>
      <c r="M118" s="296">
        <f t="shared" si="79"/>
        <v>0.19051677977705372</v>
      </c>
      <c r="N118" s="298">
        <f t="shared" si="80"/>
        <v>0.15895377632117616</v>
      </c>
      <c r="O118" s="344">
        <v>6.4150158822294705E-3</v>
      </c>
      <c r="P118" s="345">
        <v>0.18984280900672423</v>
      </c>
      <c r="Q118" s="345">
        <v>0.24690282999801119</v>
      </c>
      <c r="R118" s="345">
        <v>0.25743952566150319</v>
      </c>
      <c r="S118" s="345">
        <v>0.34047955436134297</v>
      </c>
      <c r="T118" s="345">
        <v>0.34144571446901351</v>
      </c>
      <c r="U118" s="345">
        <v>0.3412278796528066</v>
      </c>
      <c r="V118" s="345">
        <v>0.3378410395764363</v>
      </c>
      <c r="W118" s="345">
        <v>0.33697233413506794</v>
      </c>
      <c r="X118" s="345">
        <v>0.33697233413506794</v>
      </c>
      <c r="Y118" s="380">
        <v>0.33662162852909511</v>
      </c>
      <c r="Z118" s="296">
        <f t="shared" si="81"/>
        <v>0.1150440158709382</v>
      </c>
      <c r="AA118" s="298">
        <f t="shared" si="82"/>
        <v>0.10269766333689939</v>
      </c>
      <c r="AB118" s="948">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49">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6">
        <f t="shared" si="88"/>
        <v>0</v>
      </c>
      <c r="AE118" s="937">
        <f t="shared" si="85"/>
        <v>0.19051677977705372</v>
      </c>
      <c r="AF118" s="937">
        <f t="shared" si="86"/>
        <v>0.1150440158709382</v>
      </c>
      <c r="AG118" s="937">
        <f t="shared" si="87"/>
        <v>0.30556079564799193</v>
      </c>
      <c r="AH118" s="1172">
        <f t="shared" si="83"/>
        <v>0.62349876846285712</v>
      </c>
      <c r="AI118" s="937">
        <f t="shared" si="84"/>
        <v>0.37650123153714282</v>
      </c>
      <c r="AK118" s="1171"/>
      <c r="AL118" s="1171"/>
    </row>
    <row r="119" spans="1:39" ht="13.5" thickBot="1" x14ac:dyDescent="0.25">
      <c r="A119" s="328">
        <v>2050</v>
      </c>
      <c r="B119" s="346">
        <v>1.0635981403016403E-3</v>
      </c>
      <c r="C119" s="347">
        <v>0.15467495672912807</v>
      </c>
      <c r="D119" s="347">
        <v>0.23007733710419548</v>
      </c>
      <c r="E119" s="347">
        <v>0.25141623893788723</v>
      </c>
      <c r="F119" s="347">
        <v>0.33813553718495265</v>
      </c>
      <c r="G119" s="347">
        <v>0.34112198122916271</v>
      </c>
      <c r="H119" s="347">
        <v>0.33823202533600749</v>
      </c>
      <c r="I119" s="347">
        <v>0.33654632415272745</v>
      </c>
      <c r="J119" s="347">
        <v>0.33567425719838162</v>
      </c>
      <c r="K119" s="347">
        <v>0.33567425719838162</v>
      </c>
      <c r="L119" s="381">
        <v>0.33532220436396476</v>
      </c>
      <c r="M119" s="310">
        <f t="shared" si="79"/>
        <v>0.18532043456113548</v>
      </c>
      <c r="N119" s="312">
        <f>SUMPRODUCT($B$73:$L$73,$B119:$L119)</f>
        <v>0.1515956648728016</v>
      </c>
      <c r="O119" s="346">
        <v>5.7703797363094196E-3</v>
      </c>
      <c r="P119" s="347">
        <v>0.17453746272732701</v>
      </c>
      <c r="Q119" s="347">
        <v>0.22970580536112606</v>
      </c>
      <c r="R119" s="347">
        <v>0.24447437332104499</v>
      </c>
      <c r="S119" s="347">
        <v>0.34039663270435944</v>
      </c>
      <c r="T119" s="347">
        <v>0.33810527977024263</v>
      </c>
      <c r="U119" s="347">
        <v>0.33785627739897878</v>
      </c>
      <c r="V119" s="347">
        <v>0.33654632415272745</v>
      </c>
      <c r="W119" s="347">
        <v>0.33532220436396476</v>
      </c>
      <c r="X119" s="347">
        <v>0.33532220436396476</v>
      </c>
      <c r="Y119" s="381">
        <v>0.33532220436396476</v>
      </c>
      <c r="Z119" s="310">
        <f>SUMPRODUCT($O$74:$Y$74,$O119:$Y119)</f>
        <v>0.11264043290571993</v>
      </c>
      <c r="AA119" s="312">
        <f t="shared" si="82"/>
        <v>9.9415716094890652E-2</v>
      </c>
      <c r="AB119" s="950">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1">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7">
        <f t="shared" si="88"/>
        <v>0</v>
      </c>
      <c r="AE119" s="937">
        <f t="shared" si="85"/>
        <v>0.18532043456113548</v>
      </c>
      <c r="AF119" s="937">
        <f t="shared" si="86"/>
        <v>0.11264043290571993</v>
      </c>
      <c r="AG119" s="937">
        <f t="shared" si="87"/>
        <v>0.29796086746685541</v>
      </c>
      <c r="AH119" s="1172">
        <f t="shared" si="83"/>
        <v>0.62196232725678369</v>
      </c>
      <c r="AI119" s="937">
        <f t="shared" si="84"/>
        <v>0.37803767274321631</v>
      </c>
      <c r="AK119" s="1171"/>
      <c r="AL119" s="1171"/>
    </row>
    <row r="120" spans="1:39" x14ac:dyDescent="0.2">
      <c r="B120" s="227" t="str">
        <f>"Output generated: "&amp; TEXT($L$4,"m/dd/yyyy hh:mm")</f>
        <v>Output generated: 8/27/2020 18:37</v>
      </c>
      <c r="O120" s="227" t="str">
        <f>"Output generated: "&amp; TEXT($L$5,"m/dd/yyyy hh:mm")</f>
        <v>Output generated: 8/27/2020 18:37</v>
      </c>
      <c r="AB120"/>
      <c r="AC120"/>
      <c r="AD120"/>
      <c r="AE120" s="937"/>
      <c r="AF120" s="937"/>
      <c r="AG120" s="937"/>
      <c r="AH120" s="937"/>
      <c r="AI120" s="937"/>
    </row>
    <row r="121" spans="1:39" ht="13.5" thickBot="1" x14ac:dyDescent="0.25">
      <c r="AE121" s="937"/>
      <c r="AF121" s="937"/>
      <c r="AG121" s="937"/>
      <c r="AH121" s="937"/>
      <c r="AI121" s="937"/>
    </row>
    <row r="122" spans="1:39" ht="15" x14ac:dyDescent="0.25">
      <c r="A122" s="333"/>
      <c r="B122" s="1538" t="s">
        <v>253</v>
      </c>
      <c r="C122" s="1539"/>
      <c r="D122" s="1539"/>
      <c r="E122" s="1539"/>
      <c r="F122" s="1539"/>
      <c r="G122" s="1539"/>
      <c r="H122" s="1539"/>
      <c r="I122" s="1539"/>
      <c r="J122" s="1539"/>
      <c r="K122" s="1539"/>
      <c r="L122" s="1539"/>
      <c r="M122" s="1539"/>
      <c r="N122" s="1540"/>
      <c r="O122" s="1538" t="s">
        <v>254</v>
      </c>
      <c r="P122" s="1539"/>
      <c r="Q122" s="1539"/>
      <c r="R122" s="1539"/>
      <c r="S122" s="1539"/>
      <c r="T122" s="1539"/>
      <c r="U122" s="1539"/>
      <c r="V122" s="1539"/>
      <c r="W122" s="1539"/>
      <c r="X122" s="1539"/>
      <c r="Y122" s="1539"/>
      <c r="Z122" s="1539"/>
      <c r="AA122" s="1540"/>
      <c r="AE122" s="937"/>
      <c r="AF122" s="937"/>
      <c r="AG122" s="937"/>
      <c r="AH122" s="937"/>
      <c r="AI122" s="937"/>
    </row>
    <row r="123" spans="1:39" x14ac:dyDescent="0.2">
      <c r="A123" s="324"/>
      <c r="B123" s="1535" t="s">
        <v>121</v>
      </c>
      <c r="C123" s="1536"/>
      <c r="D123" s="1536"/>
      <c r="E123" s="1536"/>
      <c r="F123" s="1536"/>
      <c r="G123" s="1536"/>
      <c r="H123" s="1536"/>
      <c r="I123" s="1536"/>
      <c r="J123" s="1536"/>
      <c r="K123" s="1536"/>
      <c r="L123" s="1536"/>
      <c r="M123" s="382"/>
      <c r="N123" s="325"/>
      <c r="O123" s="1535" t="s">
        <v>121</v>
      </c>
      <c r="P123" s="1536"/>
      <c r="Q123" s="1536"/>
      <c r="R123" s="1536"/>
      <c r="S123" s="1536"/>
      <c r="T123" s="1536"/>
      <c r="U123" s="1536"/>
      <c r="V123" s="1536"/>
      <c r="W123" s="1536"/>
      <c r="X123" s="1536"/>
      <c r="Y123" s="1536"/>
      <c r="Z123" s="382"/>
      <c r="AA123" s="325"/>
      <c r="AC123" s="954" t="s">
        <v>267</v>
      </c>
      <c r="AD123" s="234" t="b">
        <f>INDEX(TECH_OPT_FUEL2_Cls1,MATCH(RIGHT(O122),TECH_OPT_ROWS_Cls1,0))&lt;&gt;"N/A"</f>
        <v>0</v>
      </c>
      <c r="AE123" s="937"/>
      <c r="AF123" s="937"/>
      <c r="AG123" s="937"/>
      <c r="AH123" s="937"/>
      <c r="AI123" s="937"/>
    </row>
    <row r="124" spans="1:39" ht="13.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E124" s="937"/>
      <c r="AF124" s="937"/>
      <c r="AG124" s="937"/>
      <c r="AH124" s="937"/>
      <c r="AI124" s="937"/>
    </row>
    <row r="125" spans="1:39" ht="14.25"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09">
        <v>5.2963907111801883E-3</v>
      </c>
      <c r="Z125" s="1214"/>
      <c r="AA125" s="1215"/>
    </row>
    <row r="126" spans="1:39" x14ac:dyDescent="0.2">
      <c r="A126" s="331" t="s">
        <v>125</v>
      </c>
      <c r="B126" s="923">
        <f t="array" ref="B126:L126">TRANSPOSE(Cls2CentVMTShr)</f>
        <v>6.3375455551975849E-3</v>
      </c>
      <c r="C126" s="924">
        <v>3.496913005496359E-2</v>
      </c>
      <c r="D126" s="924">
        <v>5.9955127131675522E-2</v>
      </c>
      <c r="E126" s="924">
        <v>8.4599669387910512E-2</v>
      </c>
      <c r="F126" s="924">
        <v>0.12702701008436962</v>
      </c>
      <c r="G126" s="924">
        <v>6.7204731283582092E-2</v>
      </c>
      <c r="H126" s="924">
        <v>8.8708982453757024E-2</v>
      </c>
      <c r="I126" s="924">
        <v>6.4694225377098208E-2</v>
      </c>
      <c r="J126" s="924">
        <v>3.2526447027526634E-2</v>
      </c>
      <c r="K126" s="924">
        <v>1.589064319454132E-2</v>
      </c>
      <c r="L126" s="1210">
        <v>3.2608183213810787E-2</v>
      </c>
      <c r="M126" s="1211"/>
      <c r="N126" s="1212"/>
      <c r="O126" s="923">
        <f t="array" ref="O126:Y126">TRANSPOSE(Cls2NCentVMTShr)</f>
        <v>8.1228463417563086E-3</v>
      </c>
      <c r="P126" s="924">
        <v>2.7563836768431361E-2</v>
      </c>
      <c r="Q126" s="924">
        <v>4.1883113088337191E-2</v>
      </c>
      <c r="R126" s="924">
        <v>6.4289357588678764E-2</v>
      </c>
      <c r="S126" s="924">
        <v>9.1183275251204537E-2</v>
      </c>
      <c r="T126" s="924">
        <v>5.1984283219922628E-2</v>
      </c>
      <c r="U126" s="924">
        <v>5.0286059545109812E-2</v>
      </c>
      <c r="V126" s="924">
        <v>1.5542287574292338E-2</v>
      </c>
      <c r="W126" s="924">
        <v>1.4506257462625264E-2</v>
      </c>
      <c r="X126" s="924">
        <v>4.9330966304706684E-3</v>
      </c>
      <c r="Y126" s="925">
        <v>1.5183891764738403E-2</v>
      </c>
      <c r="Z126" s="1211"/>
      <c r="AA126" s="1212"/>
      <c r="AB126" s="1551" t="str">
        <f>"% of miles on f2 for Tech "&amp; RIGHT(O121)&amp;" adopters"</f>
        <v>% of miles on f2 for Tech  adopters</v>
      </c>
      <c r="AC126" s="1552"/>
      <c r="AD126" s="1553"/>
      <c r="AE126" s="937" t="s">
        <v>305</v>
      </c>
      <c r="AF126" s="937"/>
      <c r="AG126" s="937"/>
      <c r="AH126" s="1172" t="s">
        <v>306</v>
      </c>
      <c r="AI126" s="937"/>
    </row>
    <row r="127" spans="1:39" ht="13.5" thickBot="1" x14ac:dyDescent="0.25">
      <c r="A127" s="942" t="s">
        <v>266</v>
      </c>
      <c r="B127" s="933">
        <f t="array" ref="B127:L127">TRANSPOSE(Cls2CentVMT/OPDAYS_Cls2)</f>
        <v>49.332453271995263</v>
      </c>
      <c r="C127" s="934">
        <v>120.11441047790339</v>
      </c>
      <c r="D127" s="934">
        <v>200.99157969807086</v>
      </c>
      <c r="E127" s="934">
        <v>280.98421424125928</v>
      </c>
      <c r="F127" s="934">
        <v>358.20644524895255</v>
      </c>
      <c r="G127" s="934">
        <v>432.82805471770689</v>
      </c>
      <c r="H127" s="934">
        <v>517.10615118099815</v>
      </c>
      <c r="I127" s="934">
        <v>597.8087063838957</v>
      </c>
      <c r="J127" s="934">
        <v>676.93419409560215</v>
      </c>
      <c r="K127" s="934">
        <v>746.82245226325631</v>
      </c>
      <c r="L127" s="935">
        <v>895.92826380844349</v>
      </c>
      <c r="M127" s="931"/>
      <c r="N127" s="932"/>
      <c r="O127" s="933">
        <f t="array" ref="O127:Y127">TRANSPOSE(Cls2NCentVMT/OPDAYS_Cls2)</f>
        <v>54.31462614952413</v>
      </c>
      <c r="P127" s="934">
        <v>126.62311644744663</v>
      </c>
      <c r="Q127" s="934">
        <v>206.96826351576016</v>
      </c>
      <c r="R127" s="934">
        <v>286.46600131499179</v>
      </c>
      <c r="S127" s="934">
        <v>358.9638908170715</v>
      </c>
      <c r="T127" s="934">
        <v>450.55545819643328</v>
      </c>
      <c r="U127" s="934">
        <v>511.93098482414172</v>
      </c>
      <c r="V127" s="934">
        <v>579.22933632093111</v>
      </c>
      <c r="W127" s="934">
        <v>695.25665569614875</v>
      </c>
      <c r="X127" s="934">
        <v>759.80682330760794</v>
      </c>
      <c r="Y127" s="1213">
        <v>882.81167173661356</v>
      </c>
      <c r="Z127" s="943"/>
      <c r="AA127" s="932"/>
      <c r="AB127" s="945" t="s">
        <v>186</v>
      </c>
      <c r="AC127" s="946" t="s">
        <v>15</v>
      </c>
      <c r="AD127" s="947" t="s">
        <v>18</v>
      </c>
      <c r="AE127" s="937" t="s">
        <v>186</v>
      </c>
      <c r="AF127" s="937" t="s">
        <v>15</v>
      </c>
      <c r="AG127" s="937" t="s">
        <v>18</v>
      </c>
      <c r="AH127" s="1172" t="s">
        <v>186</v>
      </c>
      <c r="AI127" s="937" t="s">
        <v>15</v>
      </c>
      <c r="AJ127" s="323"/>
      <c r="AK127" s="323"/>
      <c r="AL127" s="323"/>
      <c r="AM127" s="323"/>
    </row>
    <row r="128" spans="1:39" ht="13.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8">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49">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6">
        <f>AB128*AH128+AC128*AI128</f>
        <v>0</v>
      </c>
      <c r="AE128" s="937">
        <f t="shared" ref="AE128" si="91">SUMPRODUCT($B$74:$L$74,B128:L128)</f>
        <v>0</v>
      </c>
      <c r="AF128" s="937">
        <f t="shared" ref="AF128" si="92">SUMPRODUCT($O$74:$Y$74,O128:Y128)</f>
        <v>0</v>
      </c>
      <c r="AG128" s="937">
        <f t="shared" ref="AG128" si="93">SUM(AE128:AF128)</f>
        <v>0</v>
      </c>
      <c r="AH128" s="1172">
        <f>IF(AG128&gt;0,AE128/AG128,0)</f>
        <v>0</v>
      </c>
      <c r="AI128" s="937">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8">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49">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6">
        <f t="shared" ref="AD129:AD153" si="96">AB129*AH129+AC129*AI129</f>
        <v>0</v>
      </c>
      <c r="AE129" s="937">
        <f t="shared" ref="AE129:AE143" si="97">SUMPRODUCT($B$74:$L$74,B129:L129)</f>
        <v>0</v>
      </c>
      <c r="AF129" s="937">
        <f t="shared" ref="AF129:AF143" si="98">SUMPRODUCT($O$74:$Y$74,O129:Y129)</f>
        <v>0</v>
      </c>
      <c r="AG129" s="937">
        <f t="shared" ref="AG129:AG143" si="99">SUM(AE129:AF129)</f>
        <v>0</v>
      </c>
      <c r="AH129" s="1172">
        <f>IF(AG129&gt;0,AE129/AG129,0)</f>
        <v>0</v>
      </c>
      <c r="AI129" s="937">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8">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49">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6">
        <f t="shared" si="96"/>
        <v>0</v>
      </c>
      <c r="AE130" s="937">
        <f t="shared" si="97"/>
        <v>0</v>
      </c>
      <c r="AF130" s="937">
        <f t="shared" si="98"/>
        <v>0</v>
      </c>
      <c r="AG130" s="937">
        <f t="shared" si="99"/>
        <v>0</v>
      </c>
      <c r="AH130" s="1172">
        <f t="shared" ref="AH130:AH172" si="100">IF(AG130&gt;0,AE130/AG130,0)</f>
        <v>0</v>
      </c>
      <c r="AI130" s="937">
        <f t="shared" ref="AI130:AI172" si="101">IF(AG130&gt;0,AF130/AG130,0)</f>
        <v>0</v>
      </c>
    </row>
    <row r="131" spans="1:35" ht="13.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8">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49">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6">
        <f t="shared" si="96"/>
        <v>0</v>
      </c>
      <c r="AE131" s="937">
        <f t="shared" si="97"/>
        <v>0</v>
      </c>
      <c r="AF131" s="937">
        <f t="shared" si="98"/>
        <v>0</v>
      </c>
      <c r="AG131" s="937">
        <f t="shared" si="99"/>
        <v>0</v>
      </c>
      <c r="AH131" s="1172">
        <f t="shared" si="100"/>
        <v>0</v>
      </c>
      <c r="AI131" s="937">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8">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49">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6">
        <f t="shared" si="96"/>
        <v>0</v>
      </c>
      <c r="AE132" s="937">
        <f t="shared" si="97"/>
        <v>0</v>
      </c>
      <c r="AF132" s="937">
        <f t="shared" si="98"/>
        <v>0</v>
      </c>
      <c r="AG132" s="937">
        <f t="shared" si="99"/>
        <v>0</v>
      </c>
      <c r="AH132" s="1172">
        <f t="shared" si="100"/>
        <v>0</v>
      </c>
      <c r="AI132" s="937">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8">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49">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6">
        <f t="shared" si="96"/>
        <v>0</v>
      </c>
      <c r="AE133" s="937">
        <f t="shared" si="97"/>
        <v>0</v>
      </c>
      <c r="AF133" s="937">
        <f t="shared" si="98"/>
        <v>0</v>
      </c>
      <c r="AG133" s="937">
        <f t="shared" si="99"/>
        <v>0</v>
      </c>
      <c r="AH133" s="1172">
        <f t="shared" si="100"/>
        <v>0</v>
      </c>
      <c r="AI133" s="937">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8">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49">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6">
        <f t="shared" si="96"/>
        <v>0</v>
      </c>
      <c r="AE134" s="937">
        <f t="shared" si="97"/>
        <v>0</v>
      </c>
      <c r="AF134" s="937">
        <f t="shared" si="98"/>
        <v>0</v>
      </c>
      <c r="AG134" s="937">
        <f t="shared" si="99"/>
        <v>0</v>
      </c>
      <c r="AH134" s="1172">
        <f t="shared" si="100"/>
        <v>0</v>
      </c>
      <c r="AI134" s="937">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8">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49">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6">
        <f t="shared" si="96"/>
        <v>0</v>
      </c>
      <c r="AE135" s="937">
        <f t="shared" si="97"/>
        <v>0</v>
      </c>
      <c r="AF135" s="937">
        <f t="shared" si="98"/>
        <v>0</v>
      </c>
      <c r="AG135" s="937">
        <f t="shared" si="99"/>
        <v>0</v>
      </c>
      <c r="AH135" s="1172">
        <f t="shared" si="100"/>
        <v>0</v>
      </c>
      <c r="AI135" s="937">
        <f t="shared" si="101"/>
        <v>0</v>
      </c>
    </row>
    <row r="136" spans="1:35" ht="13.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8">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49">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6">
        <f t="shared" si="96"/>
        <v>0</v>
      </c>
      <c r="AE136" s="937">
        <f t="shared" si="97"/>
        <v>0</v>
      </c>
      <c r="AF136" s="937">
        <f t="shared" si="98"/>
        <v>0</v>
      </c>
      <c r="AG136" s="937">
        <f t="shared" si="99"/>
        <v>0</v>
      </c>
      <c r="AH136" s="1172">
        <f t="shared" si="100"/>
        <v>0</v>
      </c>
      <c r="AI136" s="937">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8">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49">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6">
        <f t="shared" si="96"/>
        <v>0</v>
      </c>
      <c r="AE137" s="937">
        <f t="shared" si="97"/>
        <v>0</v>
      </c>
      <c r="AF137" s="937">
        <f t="shared" si="98"/>
        <v>0</v>
      </c>
      <c r="AG137" s="937">
        <f t="shared" si="99"/>
        <v>0</v>
      </c>
      <c r="AH137" s="1172">
        <f t="shared" si="100"/>
        <v>0</v>
      </c>
      <c r="AI137" s="937">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8">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49">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6">
        <f t="shared" si="96"/>
        <v>0</v>
      </c>
      <c r="AE138" s="937">
        <f t="shared" si="97"/>
        <v>0</v>
      </c>
      <c r="AF138" s="937">
        <f t="shared" si="98"/>
        <v>0</v>
      </c>
      <c r="AG138" s="937">
        <f t="shared" si="99"/>
        <v>0</v>
      </c>
      <c r="AH138" s="1172">
        <f t="shared" si="100"/>
        <v>0</v>
      </c>
      <c r="AI138" s="937">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8">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49">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6">
        <f t="shared" si="96"/>
        <v>0</v>
      </c>
      <c r="AE139" s="937">
        <f t="shared" si="97"/>
        <v>0</v>
      </c>
      <c r="AF139" s="937">
        <f t="shared" si="98"/>
        <v>0</v>
      </c>
      <c r="AG139" s="937">
        <f t="shared" si="99"/>
        <v>0</v>
      </c>
      <c r="AH139" s="1172">
        <f t="shared" si="100"/>
        <v>0</v>
      </c>
      <c r="AI139" s="937">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8">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49">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6">
        <f t="shared" si="96"/>
        <v>0</v>
      </c>
      <c r="AE140" s="937">
        <f t="shared" si="97"/>
        <v>0</v>
      </c>
      <c r="AF140" s="937">
        <f t="shared" si="98"/>
        <v>0</v>
      </c>
      <c r="AG140" s="937">
        <f t="shared" si="99"/>
        <v>0</v>
      </c>
      <c r="AH140" s="1172">
        <f t="shared" si="100"/>
        <v>0</v>
      </c>
      <c r="AI140" s="937">
        <f t="shared" si="101"/>
        <v>0</v>
      </c>
    </row>
    <row r="141" spans="1:35" ht="13.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8">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49">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6">
        <f t="shared" si="96"/>
        <v>0</v>
      </c>
      <c r="AE141" s="937">
        <f t="shared" si="97"/>
        <v>0</v>
      </c>
      <c r="AF141" s="937">
        <f t="shared" si="98"/>
        <v>0</v>
      </c>
      <c r="AG141" s="937">
        <f t="shared" si="99"/>
        <v>0</v>
      </c>
      <c r="AH141" s="1172">
        <f t="shared" si="100"/>
        <v>0</v>
      </c>
      <c r="AI141" s="937">
        <f t="shared" si="101"/>
        <v>0</v>
      </c>
    </row>
    <row r="142" spans="1:35"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89"/>
        <v>0</v>
      </c>
      <c r="AA142" s="284">
        <f t="shared" si="90"/>
        <v>0</v>
      </c>
      <c r="AB142" s="948">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49">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6">
        <f t="shared" si="96"/>
        <v>0</v>
      </c>
      <c r="AE142" s="937">
        <f t="shared" si="97"/>
        <v>0</v>
      </c>
      <c r="AF142" s="937">
        <f t="shared" si="98"/>
        <v>0</v>
      </c>
      <c r="AG142" s="937">
        <f t="shared" si="99"/>
        <v>0</v>
      </c>
      <c r="AH142" s="1172">
        <f t="shared" si="100"/>
        <v>0</v>
      </c>
      <c r="AI142" s="937">
        <f t="shared" si="101"/>
        <v>0</v>
      </c>
    </row>
    <row r="143" spans="1:35"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89"/>
        <v>0</v>
      </c>
      <c r="AA143" s="298">
        <f t="shared" si="90"/>
        <v>0</v>
      </c>
      <c r="AB143" s="948">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49">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6">
        <f t="shared" si="96"/>
        <v>0</v>
      </c>
      <c r="AE143" s="937">
        <f t="shared" si="97"/>
        <v>0</v>
      </c>
      <c r="AF143" s="937">
        <f t="shared" si="98"/>
        <v>0</v>
      </c>
      <c r="AG143" s="937">
        <f t="shared" si="99"/>
        <v>0</v>
      </c>
      <c r="AH143" s="1172">
        <f t="shared" si="100"/>
        <v>0</v>
      </c>
      <c r="AI143" s="937">
        <f t="shared" si="101"/>
        <v>0</v>
      </c>
    </row>
    <row r="144" spans="1:35"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89"/>
        <v>0</v>
      </c>
      <c r="AA144" s="298">
        <f t="shared" si="90"/>
        <v>0</v>
      </c>
      <c r="AB144" s="948">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49">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6">
        <f t="shared" si="96"/>
        <v>0</v>
      </c>
      <c r="AE144" s="937">
        <f>SUMPRODUCT($B$74:$L$74,B144:L144)</f>
        <v>0</v>
      </c>
      <c r="AF144" s="937">
        <f>SUMPRODUCT($O$74:$Y$74,O144:Y144)</f>
        <v>0</v>
      </c>
      <c r="AG144" s="937">
        <f>SUM(AE144:AF144)</f>
        <v>0</v>
      </c>
      <c r="AH144" s="1172">
        <f t="shared" si="100"/>
        <v>0</v>
      </c>
      <c r="AI144" s="937">
        <f t="shared" si="101"/>
        <v>0</v>
      </c>
    </row>
    <row r="145" spans="1:35"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89"/>
        <v>0</v>
      </c>
      <c r="AA145" s="298">
        <f t="shared" si="90"/>
        <v>0</v>
      </c>
      <c r="AB145" s="948">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49">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6">
        <f t="shared" si="96"/>
        <v>0</v>
      </c>
      <c r="AE145" s="937">
        <f t="shared" ref="AE145:AE172" si="102">SUMPRODUCT($B$74:$L$74,B145:L145)</f>
        <v>0</v>
      </c>
      <c r="AF145" s="937">
        <f t="shared" ref="AF145:AF172" si="103">SUMPRODUCT($O$74:$Y$74,O145:Y145)</f>
        <v>0</v>
      </c>
      <c r="AG145" s="937">
        <f t="shared" ref="AG145:AG172" si="104">SUM(AE145:AF145)</f>
        <v>0</v>
      </c>
      <c r="AH145" s="1172">
        <f t="shared" si="100"/>
        <v>0</v>
      </c>
      <c r="AI145" s="937">
        <f t="shared" si="101"/>
        <v>0</v>
      </c>
    </row>
    <row r="146" spans="1:35" ht="13.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89"/>
        <v>0</v>
      </c>
      <c r="AA146" s="312">
        <f t="shared" si="90"/>
        <v>0</v>
      </c>
      <c r="AB146" s="948">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49">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6">
        <f t="shared" si="96"/>
        <v>0</v>
      </c>
      <c r="AE146" s="937">
        <f t="shared" si="102"/>
        <v>0</v>
      </c>
      <c r="AF146" s="937">
        <f t="shared" si="103"/>
        <v>0</v>
      </c>
      <c r="AG146" s="937">
        <f t="shared" si="104"/>
        <v>0</v>
      </c>
      <c r="AH146" s="1172">
        <f t="shared" si="100"/>
        <v>0</v>
      </c>
      <c r="AI146" s="937">
        <f t="shared" si="101"/>
        <v>0</v>
      </c>
    </row>
    <row r="147" spans="1:35" x14ac:dyDescent="0.2">
      <c r="A147" s="329">
        <v>2026</v>
      </c>
      <c r="B147" s="342">
        <v>0</v>
      </c>
      <c r="C147" s="343">
        <v>0</v>
      </c>
      <c r="D147" s="343">
        <v>3.1313172628746953E-4</v>
      </c>
      <c r="E147" s="343">
        <v>3.8222792045078217E-3</v>
      </c>
      <c r="F147" s="343">
        <v>8.7572744754562497E-3</v>
      </c>
      <c r="G147" s="343">
        <v>1.2610279245110699E-2</v>
      </c>
      <c r="H147" s="343">
        <v>1.593015112539704E-2</v>
      </c>
      <c r="I147" s="343">
        <v>1.8165791815525641E-2</v>
      </c>
      <c r="J147" s="343">
        <v>1.9300184213271544E-2</v>
      </c>
      <c r="K147" s="343">
        <v>2.033224577351089E-2</v>
      </c>
      <c r="L147" s="379">
        <v>2.1439173481866209E-2</v>
      </c>
      <c r="M147" s="282">
        <f t="shared" si="94"/>
        <v>6.5403389364021829E-3</v>
      </c>
      <c r="N147" s="284">
        <f t="shared" si="95"/>
        <v>4.0483804751178546E-3</v>
      </c>
      <c r="O147" s="342">
        <v>0</v>
      </c>
      <c r="P147" s="343">
        <v>0</v>
      </c>
      <c r="Q147" s="343">
        <v>7.175409862920847E-4</v>
      </c>
      <c r="R147" s="343">
        <v>4.9866600474818279E-3</v>
      </c>
      <c r="S147" s="343">
        <v>9.9162765950395713E-3</v>
      </c>
      <c r="T147" s="343">
        <v>1.4659694675160456E-2</v>
      </c>
      <c r="U147" s="343">
        <v>1.669158970798091E-2</v>
      </c>
      <c r="V147" s="343">
        <v>1.8165791815525641E-2</v>
      </c>
      <c r="W147" s="343">
        <v>1.9948292459429005E-2</v>
      </c>
      <c r="X147" s="343">
        <v>2.0912698302278269E-2</v>
      </c>
      <c r="Y147" s="379">
        <v>2.1904143219631252E-2</v>
      </c>
      <c r="Z147" s="282">
        <f t="shared" si="89"/>
        <v>3.8637361214849762E-3</v>
      </c>
      <c r="AA147" s="284">
        <f t="shared" si="90"/>
        <v>2.6268435430597901E-3</v>
      </c>
      <c r="AB147" s="948">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49">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6">
        <f t="shared" si="96"/>
        <v>0</v>
      </c>
      <c r="AE147" s="937">
        <f t="shared" si="102"/>
        <v>6.5403389364021829E-3</v>
      </c>
      <c r="AF147" s="937">
        <f t="shared" si="103"/>
        <v>3.8637361214849762E-3</v>
      </c>
      <c r="AG147" s="937">
        <f t="shared" si="104"/>
        <v>1.0404075057887159E-2</v>
      </c>
      <c r="AH147" s="1172">
        <f t="shared" si="100"/>
        <v>0.62863242527686869</v>
      </c>
      <c r="AI147" s="937">
        <f t="shared" si="101"/>
        <v>0.37136757472313131</v>
      </c>
    </row>
    <row r="148" spans="1:35" x14ac:dyDescent="0.2">
      <c r="A148" s="330">
        <v>2027</v>
      </c>
      <c r="B148" s="344">
        <v>0</v>
      </c>
      <c r="C148" s="345">
        <v>0</v>
      </c>
      <c r="D148" s="345">
        <v>1.7709841881389984E-4</v>
      </c>
      <c r="E148" s="345">
        <v>4.7984917852861003E-3</v>
      </c>
      <c r="F148" s="345">
        <v>1.4725116806459588E-2</v>
      </c>
      <c r="G148" s="345">
        <v>2.4790031482644356E-2</v>
      </c>
      <c r="H148" s="345">
        <v>3.3278749724434877E-2</v>
      </c>
      <c r="I148" s="345">
        <v>4.0215952966542984E-2</v>
      </c>
      <c r="J148" s="345">
        <v>4.3985232009292705E-2</v>
      </c>
      <c r="K148" s="345">
        <v>4.7549717722287103E-2</v>
      </c>
      <c r="L148" s="380">
        <v>5.1662655490971016E-2</v>
      </c>
      <c r="M148" s="296">
        <f t="shared" si="94"/>
        <v>1.3377831945372429E-2</v>
      </c>
      <c r="N148" s="298">
        <f t="shared" si="95"/>
        <v>7.8940534683785233E-3</v>
      </c>
      <c r="O148" s="344">
        <v>0</v>
      </c>
      <c r="P148" s="345">
        <v>0</v>
      </c>
      <c r="Q148" s="345">
        <v>5.3303215429259727E-4</v>
      </c>
      <c r="R148" s="345">
        <v>7.0319508067561562E-3</v>
      </c>
      <c r="S148" s="345">
        <v>1.742597201141555E-2</v>
      </c>
      <c r="T148" s="345">
        <v>2.9502434017647537E-2</v>
      </c>
      <c r="U148" s="345">
        <v>3.5202000505746865E-2</v>
      </c>
      <c r="V148" s="345">
        <v>4.0215952966542984E-2</v>
      </c>
      <c r="W148" s="345">
        <v>4.682493525601987E-2</v>
      </c>
      <c r="X148" s="345">
        <v>4.9215998384891727E-2</v>
      </c>
      <c r="Y148" s="380">
        <v>5.1662655490971016E-2</v>
      </c>
      <c r="Z148" s="296">
        <f t="shared" si="89"/>
        <v>7.6987245452120739E-3</v>
      </c>
      <c r="AA148" s="298">
        <f t="shared" si="90"/>
        <v>5.0004601673713919E-3</v>
      </c>
      <c r="AB148" s="948">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49">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6">
        <f t="shared" si="96"/>
        <v>0</v>
      </c>
      <c r="AE148" s="937">
        <f t="shared" si="102"/>
        <v>1.3377831945372429E-2</v>
      </c>
      <c r="AF148" s="937">
        <f t="shared" si="103"/>
        <v>7.6987245452120739E-3</v>
      </c>
      <c r="AG148" s="937">
        <f t="shared" si="104"/>
        <v>2.1076556490584503E-2</v>
      </c>
      <c r="AH148" s="1172">
        <f t="shared" si="100"/>
        <v>0.63472569398842205</v>
      </c>
      <c r="AI148" s="937">
        <f t="shared" si="101"/>
        <v>0.36527430601157795</v>
      </c>
    </row>
    <row r="149" spans="1:35" x14ac:dyDescent="0.2">
      <c r="A149" s="330">
        <v>2028</v>
      </c>
      <c r="B149" s="344">
        <v>0</v>
      </c>
      <c r="C149" s="345">
        <v>0</v>
      </c>
      <c r="D149" s="345">
        <v>2.5534189024239056E-3</v>
      </c>
      <c r="E149" s="345">
        <v>2.4386645209755788E-2</v>
      </c>
      <c r="F149" s="345">
        <v>4.9669412617955933E-2</v>
      </c>
      <c r="G149" s="345">
        <v>7.239995036224918E-2</v>
      </c>
      <c r="H149" s="345">
        <v>9.2450153130743576E-2</v>
      </c>
      <c r="I149" s="345">
        <v>0.10332466263867751</v>
      </c>
      <c r="J149" s="345">
        <v>0.11102900471815429</v>
      </c>
      <c r="K149" s="345">
        <v>0.11456347416165971</v>
      </c>
      <c r="L149" s="380">
        <v>0.1224732259297335</v>
      </c>
      <c r="M149" s="296">
        <f t="shared" si="94"/>
        <v>3.7702332608785055E-2</v>
      </c>
      <c r="N149" s="298">
        <f t="shared" si="95"/>
        <v>2.3474446001208384E-2</v>
      </c>
      <c r="O149" s="344">
        <v>0</v>
      </c>
      <c r="P149" s="345">
        <v>0</v>
      </c>
      <c r="Q149" s="345">
        <v>4.9396604293000679E-3</v>
      </c>
      <c r="R149" s="345">
        <v>3.1291176320185396E-2</v>
      </c>
      <c r="S149" s="345">
        <v>5.7308889097055095E-2</v>
      </c>
      <c r="T149" s="345">
        <v>8.1060141254292922E-2</v>
      </c>
      <c r="U149" s="345">
        <v>9.2450153130743576E-2</v>
      </c>
      <c r="V149" s="345">
        <v>0.10332466263867751</v>
      </c>
      <c r="W149" s="345">
        <v>0.11456347416165971</v>
      </c>
      <c r="X149" s="345">
        <v>0.11783438837914995</v>
      </c>
      <c r="Y149" s="380">
        <v>0.1224732259297335</v>
      </c>
      <c r="Z149" s="296">
        <f t="shared" si="89"/>
        <v>2.2015694938282978E-2</v>
      </c>
      <c r="AA149" s="298">
        <f t="shared" si="90"/>
        <v>1.5103693913996682E-2</v>
      </c>
      <c r="AB149" s="948">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49">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6">
        <f t="shared" si="96"/>
        <v>0</v>
      </c>
      <c r="AE149" s="937">
        <f t="shared" si="102"/>
        <v>3.7702332608785055E-2</v>
      </c>
      <c r="AF149" s="937">
        <f t="shared" si="103"/>
        <v>2.2015694938282978E-2</v>
      </c>
      <c r="AG149" s="937">
        <f t="shared" si="104"/>
        <v>5.9718027547068037E-2</v>
      </c>
      <c r="AH149" s="1172">
        <f t="shared" si="100"/>
        <v>0.63133921459594688</v>
      </c>
      <c r="AI149" s="937">
        <f t="shared" si="101"/>
        <v>0.36866078540405306</v>
      </c>
    </row>
    <row r="150" spans="1:35" x14ac:dyDescent="0.2">
      <c r="A150" s="330">
        <v>2029</v>
      </c>
      <c r="B150" s="344">
        <v>0</v>
      </c>
      <c r="C150" s="345">
        <v>0</v>
      </c>
      <c r="D150" s="345">
        <v>1.0447347688226718E-2</v>
      </c>
      <c r="E150" s="345">
        <v>6.3479798619273067E-2</v>
      </c>
      <c r="F150" s="345">
        <v>0.11399374949678251</v>
      </c>
      <c r="G150" s="345">
        <v>0.15573921911685482</v>
      </c>
      <c r="H150" s="345">
        <v>0.1844656130206104</v>
      </c>
      <c r="I150" s="345">
        <v>0.19941332201167516</v>
      </c>
      <c r="J150" s="345">
        <v>0.21297103748072496</v>
      </c>
      <c r="K150" s="345">
        <v>0.22246681821494113</v>
      </c>
      <c r="L150" s="380">
        <v>0.23220056608521306</v>
      </c>
      <c r="M150" s="296">
        <f t="shared" si="94"/>
        <v>7.8242057400120052E-2</v>
      </c>
      <c r="N150" s="298">
        <f t="shared" si="95"/>
        <v>5.0341310192103715E-2</v>
      </c>
      <c r="O150" s="344">
        <v>0</v>
      </c>
      <c r="P150" s="345">
        <v>0</v>
      </c>
      <c r="Q150" s="345">
        <v>1.8824708431243602E-2</v>
      </c>
      <c r="R150" s="345">
        <v>7.5026198091921709E-2</v>
      </c>
      <c r="S150" s="345">
        <v>0.12668441063731717</v>
      </c>
      <c r="T150" s="345">
        <v>0.17186491387335737</v>
      </c>
      <c r="U150" s="345">
        <v>0.18750436399696949</v>
      </c>
      <c r="V150" s="345">
        <v>0.20215921036932721</v>
      </c>
      <c r="W150" s="345">
        <v>0.21905132916138034</v>
      </c>
      <c r="X150" s="345">
        <v>0.22456625904681748</v>
      </c>
      <c r="Y150" s="380">
        <v>0.23220056608521306</v>
      </c>
      <c r="Z150" s="296">
        <f t="shared" si="89"/>
        <v>4.6479599806857556E-2</v>
      </c>
      <c r="AA150" s="298">
        <f t="shared" si="90"/>
        <v>3.2802129201310169E-2</v>
      </c>
      <c r="AB150" s="948">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49">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6">
        <f t="shared" si="96"/>
        <v>0</v>
      </c>
      <c r="AE150" s="937">
        <f t="shared" si="102"/>
        <v>7.8242057400120052E-2</v>
      </c>
      <c r="AF150" s="937">
        <f t="shared" si="103"/>
        <v>4.6479599806857556E-2</v>
      </c>
      <c r="AG150" s="937">
        <f t="shared" si="104"/>
        <v>0.12472165720697762</v>
      </c>
      <c r="AH150" s="1172">
        <f t="shared" si="100"/>
        <v>0.6273333689775793</v>
      </c>
      <c r="AI150" s="937">
        <f t="shared" si="101"/>
        <v>0.37266663102242065</v>
      </c>
    </row>
    <row r="151" spans="1:35" ht="13.5" thickBot="1" x14ac:dyDescent="0.25">
      <c r="A151" s="328">
        <v>2030</v>
      </c>
      <c r="B151" s="346">
        <v>0</v>
      </c>
      <c r="C151" s="347">
        <v>0</v>
      </c>
      <c r="D151" s="347">
        <v>3.7719300908828787E-2</v>
      </c>
      <c r="E151" s="347">
        <v>0.13128681030234848</v>
      </c>
      <c r="F151" s="347">
        <v>0.20846244919482906</v>
      </c>
      <c r="G151" s="347">
        <v>0.255562955112279</v>
      </c>
      <c r="H151" s="347">
        <v>0.29148861529135012</v>
      </c>
      <c r="I151" s="347">
        <v>0.31130562789906674</v>
      </c>
      <c r="J151" s="347">
        <v>0.32825388046368981</v>
      </c>
      <c r="K151" s="347">
        <v>0.33537308899831419</v>
      </c>
      <c r="L151" s="381">
        <v>0.34490974354172238</v>
      </c>
      <c r="M151" s="310">
        <f t="shared" si="94"/>
        <v>0.13027412915857578</v>
      </c>
      <c r="N151" s="312">
        <f t="shared" si="95"/>
        <v>8.7313430560812991E-2</v>
      </c>
      <c r="O151" s="346">
        <v>0</v>
      </c>
      <c r="P151" s="347">
        <v>4.863784790112374E-4</v>
      </c>
      <c r="Q151" s="347">
        <v>5.1778805091223429E-2</v>
      </c>
      <c r="R151" s="347">
        <v>0.15573876355515209</v>
      </c>
      <c r="S151" s="347">
        <v>0.22027601490455556</v>
      </c>
      <c r="T151" s="347">
        <v>0.27408274809733402</v>
      </c>
      <c r="U151" s="347">
        <v>0.29550345475135376</v>
      </c>
      <c r="V151" s="347">
        <v>0.31130562789906674</v>
      </c>
      <c r="W151" s="347">
        <v>0.33279510067342249</v>
      </c>
      <c r="X151" s="347">
        <v>0.33941171171302353</v>
      </c>
      <c r="Y151" s="381">
        <v>0.34490974354172238</v>
      </c>
      <c r="Z151" s="310">
        <f t="shared" si="89"/>
        <v>7.7965033080219875E-2</v>
      </c>
      <c r="AA151" s="312">
        <f t="shared" si="90"/>
        <v>5.7144919270839332E-2</v>
      </c>
      <c r="AB151" s="948">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49">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6">
        <f t="shared" si="96"/>
        <v>0</v>
      </c>
      <c r="AE151" s="937">
        <f t="shared" si="102"/>
        <v>0.13027412915857578</v>
      </c>
      <c r="AF151" s="937">
        <f t="shared" si="103"/>
        <v>7.7965033080219875E-2</v>
      </c>
      <c r="AG151" s="937">
        <f t="shared" si="104"/>
        <v>0.20823916223879566</v>
      </c>
      <c r="AH151" s="1172">
        <f t="shared" si="100"/>
        <v>0.62559860382642896</v>
      </c>
      <c r="AI151" s="937">
        <f t="shared" si="101"/>
        <v>0.3744013961735711</v>
      </c>
    </row>
    <row r="152" spans="1:35" x14ac:dyDescent="0.2">
      <c r="A152" s="329">
        <v>2031</v>
      </c>
      <c r="B152" s="342">
        <v>0</v>
      </c>
      <c r="C152" s="343">
        <v>5.8924099216490946E-4</v>
      </c>
      <c r="D152" s="343">
        <v>7.6105321005576904E-2</v>
      </c>
      <c r="E152" s="343">
        <v>0.20069741753664458</v>
      </c>
      <c r="F152" s="343">
        <v>0.28843373066825778</v>
      </c>
      <c r="G152" s="343">
        <v>0.34327799102263939</v>
      </c>
      <c r="H152" s="343">
        <v>0.3749322934798669</v>
      </c>
      <c r="I152" s="343">
        <v>0.3953437913594397</v>
      </c>
      <c r="J152" s="343">
        <v>0.40391765001587526</v>
      </c>
      <c r="K152" s="343">
        <v>0.41120831908580974</v>
      </c>
      <c r="L152" s="379">
        <v>0.42050309454914542</v>
      </c>
      <c r="M152" s="282">
        <f t="shared" si="94"/>
        <v>0.17349175942456965</v>
      </c>
      <c r="N152" s="284">
        <f t="shared" si="95"/>
        <v>0.11992691566429134</v>
      </c>
      <c r="O152" s="342">
        <v>0</v>
      </c>
      <c r="P152" s="343">
        <v>2.6707677219046742E-3</v>
      </c>
      <c r="Q152" s="343">
        <v>9.8491840574262135E-2</v>
      </c>
      <c r="R152" s="343">
        <v>0.22793939876717884</v>
      </c>
      <c r="S152" s="343">
        <v>0.3025719340836473</v>
      </c>
      <c r="T152" s="343">
        <v>0.35590202378974256</v>
      </c>
      <c r="U152" s="343">
        <v>0.3749322934798669</v>
      </c>
      <c r="V152" s="343">
        <v>0.3953437913594397</v>
      </c>
      <c r="W152" s="343">
        <v>0.40878078335209439</v>
      </c>
      <c r="X152" s="343">
        <v>0.41540220699377056</v>
      </c>
      <c r="Y152" s="379">
        <v>0.42050309454914542</v>
      </c>
      <c r="Z152" s="282">
        <f t="shared" si="89"/>
        <v>0.10430603709293758</v>
      </c>
      <c r="AA152" s="284">
        <f t="shared" si="90"/>
        <v>7.8673840314699636E-2</v>
      </c>
      <c r="AB152" s="948">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49">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6">
        <f t="shared" si="96"/>
        <v>0</v>
      </c>
      <c r="AE152" s="937">
        <f t="shared" si="102"/>
        <v>0.17349175942456965</v>
      </c>
      <c r="AF152" s="937">
        <f t="shared" si="103"/>
        <v>0.10430603709293758</v>
      </c>
      <c r="AG152" s="937">
        <f t="shared" si="104"/>
        <v>0.27779779651750725</v>
      </c>
      <c r="AH152" s="1172">
        <f t="shared" si="100"/>
        <v>0.62452532597261234</v>
      </c>
      <c r="AI152" s="937">
        <f t="shared" si="101"/>
        <v>0.3754746740273876</v>
      </c>
    </row>
    <row r="153" spans="1:35" x14ac:dyDescent="0.2">
      <c r="A153" s="330">
        <v>2032</v>
      </c>
      <c r="B153" s="344">
        <v>0</v>
      </c>
      <c r="C153" s="345">
        <v>1.7848274185839957E-3</v>
      </c>
      <c r="D153" s="345">
        <v>0.1064954149418174</v>
      </c>
      <c r="E153" s="345">
        <v>0.24645516223674821</v>
      </c>
      <c r="F153" s="345">
        <v>0.33280029420652324</v>
      </c>
      <c r="G153" s="345">
        <v>0.38480622891749483</v>
      </c>
      <c r="H153" s="345">
        <v>0.41695297372683693</v>
      </c>
      <c r="I153" s="345">
        <v>0.4333606969103953</v>
      </c>
      <c r="J153" s="345">
        <v>0.44197621937443343</v>
      </c>
      <c r="K153" s="345">
        <v>0.4491350992613925</v>
      </c>
      <c r="L153" s="380">
        <v>0.45750580173325756</v>
      </c>
      <c r="M153" s="296">
        <f t="shared" si="94"/>
        <v>0.19688761411256753</v>
      </c>
      <c r="N153" s="298">
        <f t="shared" si="95"/>
        <v>0.1386116570747013</v>
      </c>
      <c r="O153" s="344">
        <v>0</v>
      </c>
      <c r="P153" s="345">
        <v>7.0852416277419382E-3</v>
      </c>
      <c r="Q153" s="345">
        <v>0.1348380771928889</v>
      </c>
      <c r="R153" s="345">
        <v>0.27146738595384656</v>
      </c>
      <c r="S153" s="345">
        <v>0.34220250807363811</v>
      </c>
      <c r="T153" s="345">
        <v>0.39772747181247886</v>
      </c>
      <c r="U153" s="345">
        <v>0.41695297372683693</v>
      </c>
      <c r="V153" s="345">
        <v>0.4333606969103953</v>
      </c>
      <c r="W153" s="345">
        <v>0.4491350992613925</v>
      </c>
      <c r="X153" s="345">
        <v>0.45464994215407994</v>
      </c>
      <c r="Y153" s="380">
        <v>0.45824233382595675</v>
      </c>
      <c r="Z153" s="296">
        <f t="shared" si="89"/>
        <v>0.11859226387402255</v>
      </c>
      <c r="AA153" s="298">
        <f t="shared" si="90"/>
        <v>9.0951696518061481E-2</v>
      </c>
      <c r="AB153" s="948">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49">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6">
        <f t="shared" si="96"/>
        <v>0</v>
      </c>
      <c r="AE153" s="937">
        <f t="shared" si="102"/>
        <v>0.19688761411256753</v>
      </c>
      <c r="AF153" s="937">
        <f t="shared" si="103"/>
        <v>0.11859226387402255</v>
      </c>
      <c r="AG153" s="937">
        <f t="shared" si="104"/>
        <v>0.31547987798659005</v>
      </c>
      <c r="AH153" s="1172">
        <f t="shared" si="100"/>
        <v>0.62408929333025964</v>
      </c>
      <c r="AI153" s="937">
        <f t="shared" si="101"/>
        <v>0.37591070666974041</v>
      </c>
    </row>
    <row r="154" spans="1:35" x14ac:dyDescent="0.2">
      <c r="A154" s="330">
        <v>2033</v>
      </c>
      <c r="B154" s="344">
        <v>0</v>
      </c>
      <c r="C154" s="345">
        <v>3.4887225582126325E-3</v>
      </c>
      <c r="D154" s="345">
        <v>0.13077112584674719</v>
      </c>
      <c r="E154" s="345">
        <v>0.26963966236941567</v>
      </c>
      <c r="F154" s="345">
        <v>0.35272839999161748</v>
      </c>
      <c r="G154" s="345">
        <v>0.40495867226096643</v>
      </c>
      <c r="H154" s="345">
        <v>0.42977628950018498</v>
      </c>
      <c r="I154" s="345">
        <v>0.45014970096991819</v>
      </c>
      <c r="J154" s="345">
        <v>0.45827426195247145</v>
      </c>
      <c r="K154" s="345">
        <v>0.4629470851740865</v>
      </c>
      <c r="L154" s="380">
        <v>0.47233401900197858</v>
      </c>
      <c r="M154" s="296">
        <f t="shared" si="94"/>
        <v>0.20770661434746779</v>
      </c>
      <c r="N154" s="298">
        <f t="shared" si="95"/>
        <v>0.14801834878863199</v>
      </c>
      <c r="O154" s="344">
        <v>0</v>
      </c>
      <c r="P154" s="345">
        <v>1.1064369603645518E-2</v>
      </c>
      <c r="Q154" s="345">
        <v>0.16324465103964891</v>
      </c>
      <c r="R154" s="345">
        <v>0.2956753476875818</v>
      </c>
      <c r="S154" s="345">
        <v>0.36789170354560996</v>
      </c>
      <c r="T154" s="345">
        <v>0.41784819515401295</v>
      </c>
      <c r="U154" s="345">
        <v>0.44059502843062298</v>
      </c>
      <c r="V154" s="345">
        <v>0.45014970096991819</v>
      </c>
      <c r="W154" s="345">
        <v>0.4629470851740865</v>
      </c>
      <c r="X154" s="345">
        <v>0.46863135068255618</v>
      </c>
      <c r="Y154" s="380">
        <v>0.47233401900197858</v>
      </c>
      <c r="Z154" s="296">
        <f t="shared" si="89"/>
        <v>0.12676950410907772</v>
      </c>
      <c r="AA154" s="298">
        <f t="shared" si="90"/>
        <v>9.8431121014517495E-2</v>
      </c>
      <c r="AB154" s="948">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49">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6">
        <f>AB154*AH154+AC154*AI154</f>
        <v>0</v>
      </c>
      <c r="AE154" s="937">
        <f t="shared" si="102"/>
        <v>0.20770661434746779</v>
      </c>
      <c r="AF154" s="937">
        <f t="shared" si="103"/>
        <v>0.12676950410907772</v>
      </c>
      <c r="AG154" s="937">
        <f t="shared" si="104"/>
        <v>0.33447611845654551</v>
      </c>
      <c r="AH154" s="1172">
        <f t="shared" si="100"/>
        <v>0.62099086567357609</v>
      </c>
      <c r="AI154" s="937">
        <f t="shared" si="101"/>
        <v>0.37900913432642386</v>
      </c>
    </row>
    <row r="155" spans="1:35" x14ac:dyDescent="0.2">
      <c r="A155" s="330">
        <v>2034</v>
      </c>
      <c r="B155" s="344">
        <v>0</v>
      </c>
      <c r="C155" s="345">
        <v>4.7686085306375987E-3</v>
      </c>
      <c r="D155" s="345">
        <v>0.1405797127324882</v>
      </c>
      <c r="E155" s="345">
        <v>0.28868341806815589</v>
      </c>
      <c r="F155" s="345">
        <v>0.36249239079565582</v>
      </c>
      <c r="G155" s="345">
        <v>0.40958925091701603</v>
      </c>
      <c r="H155" s="345">
        <v>0.4414633915415978</v>
      </c>
      <c r="I155" s="345">
        <v>0.45529654436716566</v>
      </c>
      <c r="J155" s="345">
        <v>0.4682398643619291</v>
      </c>
      <c r="K155" s="345">
        <v>0.47398901544833866</v>
      </c>
      <c r="L155" s="380">
        <v>0.47773389884235579</v>
      </c>
      <c r="M155" s="296">
        <f t="shared" si="94"/>
        <v>0.21354743996967529</v>
      </c>
      <c r="N155" s="298">
        <f t="shared" si="95"/>
        <v>0.15315660658063979</v>
      </c>
      <c r="O155" s="344">
        <v>0</v>
      </c>
      <c r="P155" s="345">
        <v>1.4501639901874327E-2</v>
      </c>
      <c r="Q155" s="345">
        <v>0.17825449213366215</v>
      </c>
      <c r="R155" s="345">
        <v>0.30473090221023275</v>
      </c>
      <c r="S155" s="345">
        <v>0.3776027395552003</v>
      </c>
      <c r="T155" s="345">
        <v>0.42721643384275509</v>
      </c>
      <c r="U155" s="345">
        <v>0.44563275109637895</v>
      </c>
      <c r="V155" s="345">
        <v>0.46077671793837166</v>
      </c>
      <c r="W155" s="345">
        <v>0.4682398643619291</v>
      </c>
      <c r="X155" s="345">
        <v>0.47398901544833866</v>
      </c>
      <c r="Y155" s="380">
        <v>0.47773389884235579</v>
      </c>
      <c r="Z155" s="296">
        <f t="shared" si="89"/>
        <v>0.13005126322641669</v>
      </c>
      <c r="AA155" s="298">
        <f t="shared" si="90"/>
        <v>0.10162867869882698</v>
      </c>
      <c r="AB155" s="948">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49">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6">
        <f t="shared" ref="AD155:AD171" si="105">AB155*AH155+AC155*AI155</f>
        <v>0</v>
      </c>
      <c r="AE155" s="937">
        <f t="shared" si="102"/>
        <v>0.21354743996967529</v>
      </c>
      <c r="AF155" s="937">
        <f t="shared" si="103"/>
        <v>0.13005126322641669</v>
      </c>
      <c r="AG155" s="937">
        <f t="shared" si="104"/>
        <v>0.34359870319609198</v>
      </c>
      <c r="AH155" s="1172">
        <f t="shared" si="100"/>
        <v>0.62150246198049131</v>
      </c>
      <c r="AI155" s="937">
        <f t="shared" si="101"/>
        <v>0.37849753801950864</v>
      </c>
    </row>
    <row r="156" spans="1:35" ht="13.5" thickBot="1" x14ac:dyDescent="0.25">
      <c r="A156" s="328">
        <v>2035</v>
      </c>
      <c r="B156" s="346">
        <v>0</v>
      </c>
      <c r="C156" s="347">
        <v>6.402467527719783E-3</v>
      </c>
      <c r="D156" s="347">
        <v>0.15318905209771733</v>
      </c>
      <c r="E156" s="347">
        <v>0.28989444863945291</v>
      </c>
      <c r="F156" s="347">
        <v>0.37365846691217069</v>
      </c>
      <c r="G156" s="347">
        <v>0.41638577571831298</v>
      </c>
      <c r="H156" s="347">
        <v>0.44749928071821254</v>
      </c>
      <c r="I156" s="347">
        <v>0.46270628135340086</v>
      </c>
      <c r="J156" s="347">
        <v>0.47020059151626742</v>
      </c>
      <c r="K156" s="347">
        <v>0.47597371983085668</v>
      </c>
      <c r="L156" s="381">
        <v>0.47973417306294602</v>
      </c>
      <c r="M156" s="310">
        <f t="shared" si="94"/>
        <v>0.21751351762147045</v>
      </c>
      <c r="N156" s="312">
        <f t="shared" si="95"/>
        <v>0.15674815687532492</v>
      </c>
      <c r="O156" s="346">
        <v>0</v>
      </c>
      <c r="P156" s="347">
        <v>1.6643554264348312E-2</v>
      </c>
      <c r="Q156" s="347">
        <v>0.17900337726990173</v>
      </c>
      <c r="R156" s="347">
        <v>0.31645142365589041</v>
      </c>
      <c r="S156" s="347">
        <v>0.38857004277003304</v>
      </c>
      <c r="T156" s="347">
        <v>0.43651123687785548</v>
      </c>
      <c r="U156" s="347">
        <v>0.44749928071821254</v>
      </c>
      <c r="V156" s="347">
        <v>0.46270628135340086</v>
      </c>
      <c r="W156" s="347">
        <v>0.47597371983085668</v>
      </c>
      <c r="X156" s="347">
        <v>0.47597371983085668</v>
      </c>
      <c r="Y156" s="381">
        <v>0.48172355428061397</v>
      </c>
      <c r="Z156" s="310">
        <f t="shared" si="89"/>
        <v>0.13268480012338585</v>
      </c>
      <c r="AA156" s="312">
        <f t="shared" si="90"/>
        <v>0.10396422994326043</v>
      </c>
      <c r="AB156" s="948">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49">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6">
        <f t="shared" si="105"/>
        <v>0</v>
      </c>
      <c r="AE156" s="937">
        <f t="shared" si="102"/>
        <v>0.21751351762147045</v>
      </c>
      <c r="AF156" s="937">
        <f t="shared" si="103"/>
        <v>0.13268480012338585</v>
      </c>
      <c r="AG156" s="937">
        <f t="shared" si="104"/>
        <v>0.35019831774485632</v>
      </c>
      <c r="AH156" s="1172">
        <f t="shared" si="100"/>
        <v>0.62111525555626479</v>
      </c>
      <c r="AI156" s="937">
        <f t="shared" si="101"/>
        <v>0.37888474444373516</v>
      </c>
    </row>
    <row r="157" spans="1:35" x14ac:dyDescent="0.2">
      <c r="A157" s="329">
        <v>2036</v>
      </c>
      <c r="B157" s="342">
        <v>0</v>
      </c>
      <c r="C157" s="343">
        <v>9.7837125973962834E-3</v>
      </c>
      <c r="D157" s="343">
        <v>0.16609656967314032</v>
      </c>
      <c r="E157" s="343">
        <v>0.31699344928940903</v>
      </c>
      <c r="F157" s="343">
        <v>0.38923178893260674</v>
      </c>
      <c r="G157" s="343">
        <v>0.42511671538131524</v>
      </c>
      <c r="H157" s="343">
        <v>0.44825792055955149</v>
      </c>
      <c r="I157" s="343">
        <v>0.46348919582909237</v>
      </c>
      <c r="J157" s="343">
        <v>0.47099584809609812</v>
      </c>
      <c r="K157" s="343">
        <v>0.47677837232168757</v>
      </c>
      <c r="L157" s="379">
        <v>0.48253712183469138</v>
      </c>
      <c r="M157" s="282">
        <f t="shared" si="94"/>
        <v>0.22351118875786777</v>
      </c>
      <c r="N157" s="284">
        <f t="shared" si="95"/>
        <v>0.1629821344465236</v>
      </c>
      <c r="O157" s="342">
        <v>0</v>
      </c>
      <c r="P157" s="343">
        <v>2.4134105065496934E-2</v>
      </c>
      <c r="Q157" s="343">
        <v>0.20295451664660322</v>
      </c>
      <c r="R157" s="343">
        <v>0.3330922265947806</v>
      </c>
      <c r="S157" s="343">
        <v>0.39805743784065895</v>
      </c>
      <c r="T157" s="343">
        <v>0.43725167074810739</v>
      </c>
      <c r="U157" s="343">
        <v>0.45445494213654286</v>
      </c>
      <c r="V157" s="343">
        <v>0.46348919582909237</v>
      </c>
      <c r="W157" s="343">
        <v>0.47677837232168757</v>
      </c>
      <c r="X157" s="343">
        <v>0.47977207407610584</v>
      </c>
      <c r="Y157" s="379">
        <v>0.48253712183469138</v>
      </c>
      <c r="Z157" s="282">
        <f t="shared" si="89"/>
        <v>0.13627253028554093</v>
      </c>
      <c r="AA157" s="284">
        <f t="shared" si="90"/>
        <v>0.1081112786608342</v>
      </c>
      <c r="AB157" s="948">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49">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6">
        <f t="shared" si="105"/>
        <v>0</v>
      </c>
      <c r="AE157" s="937">
        <f t="shared" si="102"/>
        <v>0.22351118875786777</v>
      </c>
      <c r="AF157" s="937">
        <f t="shared" si="103"/>
        <v>0.13627253028554093</v>
      </c>
      <c r="AG157" s="937">
        <f t="shared" si="104"/>
        <v>0.35978371904340867</v>
      </c>
      <c r="AH157" s="1172">
        <f t="shared" si="100"/>
        <v>0.62123764063626419</v>
      </c>
      <c r="AI157" s="937">
        <f t="shared" si="101"/>
        <v>0.37876235936373587</v>
      </c>
    </row>
    <row r="158" spans="1:35" x14ac:dyDescent="0.2">
      <c r="A158" s="330">
        <v>2037</v>
      </c>
      <c r="B158" s="344">
        <v>0</v>
      </c>
      <c r="C158" s="345">
        <v>1.2745826230580157E-2</v>
      </c>
      <c r="D158" s="345">
        <v>0.17943813605572914</v>
      </c>
      <c r="E158" s="345">
        <v>0.31720444888932131</v>
      </c>
      <c r="F158" s="345">
        <v>0.38948855450448733</v>
      </c>
      <c r="G158" s="345">
        <v>0.42539564403079994</v>
      </c>
      <c r="H158" s="345">
        <v>0.4547518843598104</v>
      </c>
      <c r="I158" s="345">
        <v>0.46654794822186224</v>
      </c>
      <c r="J158" s="345">
        <v>0.47519347259712119</v>
      </c>
      <c r="K158" s="345">
        <v>0.47708926972575483</v>
      </c>
      <c r="L158" s="380">
        <v>0.48285128401118471</v>
      </c>
      <c r="M158" s="296">
        <f t="shared" si="94"/>
        <v>0.22540955355355122</v>
      </c>
      <c r="N158" s="298">
        <f t="shared" si="95"/>
        <v>0.16504680319756451</v>
      </c>
      <c r="O158" s="344">
        <v>0</v>
      </c>
      <c r="P158" s="345">
        <v>3.0313404120466566E-2</v>
      </c>
      <c r="Q158" s="345">
        <v>0.21769698133162571</v>
      </c>
      <c r="R158" s="345">
        <v>0.34330672726889588</v>
      </c>
      <c r="S158" s="345">
        <v>0.40381038706688943</v>
      </c>
      <c r="T158" s="345">
        <v>0.44435325600621284</v>
      </c>
      <c r="U158" s="345">
        <v>0.45827774213161671</v>
      </c>
      <c r="V158" s="345">
        <v>0.47130319637866053</v>
      </c>
      <c r="W158" s="345">
        <v>0.47708926972575483</v>
      </c>
      <c r="X158" s="345">
        <v>0.48085785890296412</v>
      </c>
      <c r="Y158" s="380">
        <v>0.48285128401118471</v>
      </c>
      <c r="Z158" s="296">
        <f t="shared" si="89"/>
        <v>0.13893906048580787</v>
      </c>
      <c r="AA158" s="298">
        <f t="shared" si="90"/>
        <v>0.11103845389942237</v>
      </c>
      <c r="AB158" s="948">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49">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6">
        <f t="shared" si="105"/>
        <v>0</v>
      </c>
      <c r="AE158" s="937">
        <f t="shared" si="102"/>
        <v>0.22540955355355122</v>
      </c>
      <c r="AF158" s="937">
        <f t="shared" si="103"/>
        <v>0.13893906048580787</v>
      </c>
      <c r="AG158" s="937">
        <f t="shared" si="104"/>
        <v>0.36434861403935909</v>
      </c>
      <c r="AH158" s="1172">
        <f t="shared" si="100"/>
        <v>0.61866450116151983</v>
      </c>
      <c r="AI158" s="937">
        <f t="shared" si="101"/>
        <v>0.38133549883848017</v>
      </c>
    </row>
    <row r="159" spans="1:35" x14ac:dyDescent="0.2">
      <c r="A159" s="330">
        <v>2038</v>
      </c>
      <c r="B159" s="344">
        <v>0</v>
      </c>
      <c r="C159" s="345">
        <v>1.8715001052400079E-2</v>
      </c>
      <c r="D159" s="345">
        <v>0.19848089319093984</v>
      </c>
      <c r="E159" s="345">
        <v>0.33342989817958391</v>
      </c>
      <c r="F159" s="345">
        <v>0.39845326317956437</v>
      </c>
      <c r="G159" s="345">
        <v>0.43768461875379372</v>
      </c>
      <c r="H159" s="345">
        <v>0.4584301344522495</v>
      </c>
      <c r="I159" s="345">
        <v>0.47145860481875551</v>
      </c>
      <c r="J159" s="345">
        <v>0.47724623919166115</v>
      </c>
      <c r="K159" s="345">
        <v>0.48024198914029059</v>
      </c>
      <c r="L159" s="380">
        <v>0.48300939074603999</v>
      </c>
      <c r="M159" s="296">
        <f t="shared" si="94"/>
        <v>0.23086331482222716</v>
      </c>
      <c r="N159" s="298">
        <f t="shared" si="95"/>
        <v>0.17081280320016357</v>
      </c>
      <c r="O159" s="344">
        <v>0</v>
      </c>
      <c r="P159" s="345">
        <v>3.7637450693940915E-2</v>
      </c>
      <c r="Q159" s="345">
        <v>0.22781449565417136</v>
      </c>
      <c r="R159" s="345">
        <v>0.35922898985774859</v>
      </c>
      <c r="S159" s="345">
        <v>0.41241268114707758</v>
      </c>
      <c r="T159" s="345">
        <v>0.44870109553799553</v>
      </c>
      <c r="U159" s="345">
        <v>0.46394509393871514</v>
      </c>
      <c r="V159" s="345">
        <v>0.47145860481875551</v>
      </c>
      <c r="W159" s="345">
        <v>0.48024198914029059</v>
      </c>
      <c r="X159" s="345">
        <v>0.48101567181218791</v>
      </c>
      <c r="Y159" s="380">
        <v>0.48300939074603999</v>
      </c>
      <c r="Z159" s="296">
        <f t="shared" si="89"/>
        <v>0.14193504654482073</v>
      </c>
      <c r="AA159" s="298">
        <f t="shared" si="90"/>
        <v>0.11428174351571396</v>
      </c>
      <c r="AB159" s="948">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49">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6">
        <f t="shared" si="105"/>
        <v>0</v>
      </c>
      <c r="AE159" s="937">
        <f t="shared" si="102"/>
        <v>0.23086331482222716</v>
      </c>
      <c r="AF159" s="937">
        <f t="shared" si="103"/>
        <v>0.14193504654482073</v>
      </c>
      <c r="AG159" s="937">
        <f t="shared" si="104"/>
        <v>0.37279836136704791</v>
      </c>
      <c r="AH159" s="1172">
        <f t="shared" si="100"/>
        <v>0.61927127033405849</v>
      </c>
      <c r="AI159" s="937">
        <f t="shared" si="101"/>
        <v>0.3807287296659414</v>
      </c>
    </row>
    <row r="160" spans="1:35" x14ac:dyDescent="0.2">
      <c r="A160" s="330">
        <v>2039</v>
      </c>
      <c r="B160" s="344">
        <v>0</v>
      </c>
      <c r="C160" s="345">
        <v>2.6856502747845179E-2</v>
      </c>
      <c r="D160" s="345">
        <v>0.212985312415095</v>
      </c>
      <c r="E160" s="345">
        <v>0.34351889189207002</v>
      </c>
      <c r="F160" s="345">
        <v>0.41252088585743857</v>
      </c>
      <c r="G160" s="345">
        <v>0.44461431823080716</v>
      </c>
      <c r="H160" s="345">
        <v>0.46406287733618351</v>
      </c>
      <c r="I160" s="345">
        <v>0.47157782035920326</v>
      </c>
      <c r="J160" s="345">
        <v>0.47736640112908557</v>
      </c>
      <c r="K160" s="345">
        <v>0.48113619180337042</v>
      </c>
      <c r="L160" s="380">
        <v>0.48312987303605059</v>
      </c>
      <c r="M160" s="296">
        <f t="shared" si="94"/>
        <v>0.23565326657558161</v>
      </c>
      <c r="N160" s="298">
        <f t="shared" si="95"/>
        <v>0.17598849054537516</v>
      </c>
      <c r="O160" s="344">
        <v>0</v>
      </c>
      <c r="P160" s="345">
        <v>5.1602735148634948E-2</v>
      </c>
      <c r="Q160" s="345">
        <v>0.25323675880103735</v>
      </c>
      <c r="R160" s="345">
        <v>0.36868806818359612</v>
      </c>
      <c r="S160" s="345">
        <v>0.4256493699772716</v>
      </c>
      <c r="T160" s="345">
        <v>0.45501835785314437</v>
      </c>
      <c r="U160" s="345">
        <v>0.46406287733618351</v>
      </c>
      <c r="V160" s="345">
        <v>0.47157782035920326</v>
      </c>
      <c r="W160" s="345">
        <v>0.48017796278393404</v>
      </c>
      <c r="X160" s="345">
        <v>0.48243343612101747</v>
      </c>
      <c r="Y160" s="380">
        <v>0.48045882187143113</v>
      </c>
      <c r="Z160" s="296">
        <f t="shared" si="89"/>
        <v>0.14550334132057527</v>
      </c>
      <c r="AA160" s="298">
        <f t="shared" si="90"/>
        <v>0.11870911549883642</v>
      </c>
      <c r="AB160" s="948">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49">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6">
        <f t="shared" si="105"/>
        <v>0</v>
      </c>
      <c r="AE160" s="937">
        <f t="shared" si="102"/>
        <v>0.23565326657558161</v>
      </c>
      <c r="AF160" s="937">
        <f t="shared" si="103"/>
        <v>0.14550334132057527</v>
      </c>
      <c r="AG160" s="937">
        <f t="shared" si="104"/>
        <v>0.38115660789615691</v>
      </c>
      <c r="AH160" s="1172">
        <f t="shared" si="100"/>
        <v>0.61825837908543746</v>
      </c>
      <c r="AI160" s="937">
        <f t="shared" si="101"/>
        <v>0.38174162091456249</v>
      </c>
    </row>
    <row r="161" spans="1:35" ht="13.5" thickBot="1" x14ac:dyDescent="0.25">
      <c r="A161" s="328">
        <v>2040</v>
      </c>
      <c r="B161" s="346">
        <v>0</v>
      </c>
      <c r="C161" s="347">
        <v>4.0273263100851997E-2</v>
      </c>
      <c r="D161" s="347">
        <v>0.23780115339031599</v>
      </c>
      <c r="E161" s="347">
        <v>0.35943529383052969</v>
      </c>
      <c r="F161" s="347">
        <v>0.42047072445687966</v>
      </c>
      <c r="G161" s="347">
        <v>0.44894361467616484</v>
      </c>
      <c r="H161" s="347">
        <v>0.46419075366001944</v>
      </c>
      <c r="I161" s="347">
        <v>0.47559748926978662</v>
      </c>
      <c r="J161" s="347">
        <v>0.48026113013442551</v>
      </c>
      <c r="K161" s="347">
        <v>0.48225785051117859</v>
      </c>
      <c r="L161" s="381">
        <v>0.47792526586959427</v>
      </c>
      <c r="M161" s="310">
        <f t="shared" si="94"/>
        <v>0.24047125117680071</v>
      </c>
      <c r="N161" s="312">
        <f t="shared" si="95"/>
        <v>0.1821542150966444</v>
      </c>
      <c r="O161" s="346">
        <v>0</v>
      </c>
      <c r="P161" s="347">
        <v>6.9183672246756325E-2</v>
      </c>
      <c r="Q161" s="347">
        <v>0.26913100606431478</v>
      </c>
      <c r="R161" s="347">
        <v>0.3840139101681963</v>
      </c>
      <c r="S161" s="347">
        <v>0.4257709984197981</v>
      </c>
      <c r="T161" s="347">
        <v>0.45514435628641087</v>
      </c>
      <c r="U161" s="347">
        <v>0.47147641521810246</v>
      </c>
      <c r="V161" s="347">
        <v>0.47424079163934874</v>
      </c>
      <c r="W161" s="347">
        <v>0.47432410187317392</v>
      </c>
      <c r="X161" s="347">
        <v>0.47084899896729271</v>
      </c>
      <c r="Y161" s="381">
        <v>0.45890201550832455</v>
      </c>
      <c r="Z161" s="310">
        <f t="shared" si="89"/>
        <v>0.14760137420704134</v>
      </c>
      <c r="AA161" s="312">
        <f t="shared" si="90"/>
        <v>0.12202253462982578</v>
      </c>
      <c r="AB161" s="948">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49">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6">
        <f t="shared" si="105"/>
        <v>0</v>
      </c>
      <c r="AE161" s="937">
        <f t="shared" si="102"/>
        <v>0.24047125117680071</v>
      </c>
      <c r="AF161" s="937">
        <f t="shared" si="103"/>
        <v>0.14760137420704134</v>
      </c>
      <c r="AG161" s="937">
        <f t="shared" si="104"/>
        <v>0.38807262538384202</v>
      </c>
      <c r="AH161" s="1172">
        <f t="shared" si="100"/>
        <v>0.61965527957286592</v>
      </c>
      <c r="AI161" s="937">
        <f t="shared" si="101"/>
        <v>0.38034472042713408</v>
      </c>
    </row>
    <row r="162" spans="1:35" x14ac:dyDescent="0.2">
      <c r="A162" s="329">
        <v>2041</v>
      </c>
      <c r="B162" s="342">
        <v>0</v>
      </c>
      <c r="C162" s="343">
        <v>6.0776593460129751E-2</v>
      </c>
      <c r="D162" s="343">
        <v>0.26923724625651563</v>
      </c>
      <c r="E162" s="343">
        <v>0.38414877960598476</v>
      </c>
      <c r="F162" s="343">
        <v>0.43327532983962291</v>
      </c>
      <c r="G162" s="343">
        <v>0.45517441780561868</v>
      </c>
      <c r="H162" s="343">
        <v>0.47041600193690059</v>
      </c>
      <c r="I162" s="343">
        <v>0.47188664815287878</v>
      </c>
      <c r="J162" s="343">
        <v>0.46820992454766264</v>
      </c>
      <c r="K162" s="343">
        <v>0.46126063802501915</v>
      </c>
      <c r="L162" s="379">
        <v>0.44015572990189727</v>
      </c>
      <c r="M162" s="282">
        <f t="shared" si="94"/>
        <v>0.24556394004815238</v>
      </c>
      <c r="N162" s="284">
        <f t="shared" si="95"/>
        <v>0.19033349669859739</v>
      </c>
      <c r="O162" s="342">
        <v>0</v>
      </c>
      <c r="P162" s="343">
        <v>9.0738442150139445E-2</v>
      </c>
      <c r="Q162" s="343">
        <v>0.29529797069481756</v>
      </c>
      <c r="R162" s="343">
        <v>0.39881272817814101</v>
      </c>
      <c r="S162" s="343">
        <v>0.43789911239047707</v>
      </c>
      <c r="T162" s="343">
        <v>0.46137550418686785</v>
      </c>
      <c r="U162" s="343">
        <v>0.46351923036666803</v>
      </c>
      <c r="V162" s="343">
        <v>0.4624925783998593</v>
      </c>
      <c r="W162" s="343">
        <v>0.44570009140636152</v>
      </c>
      <c r="X162" s="343">
        <v>0.43600059303240379</v>
      </c>
      <c r="Y162" s="379">
        <v>0.41852277117144548</v>
      </c>
      <c r="Z162" s="282">
        <f t="shared" si="89"/>
        <v>0.14988968824488208</v>
      </c>
      <c r="AA162" s="284">
        <f t="shared" si="90"/>
        <v>0.12648563473612584</v>
      </c>
      <c r="AB162" s="948">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49">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6">
        <f t="shared" si="105"/>
        <v>0</v>
      </c>
      <c r="AE162" s="937">
        <f t="shared" si="102"/>
        <v>0.24556394004815238</v>
      </c>
      <c r="AF162" s="937">
        <f t="shared" si="103"/>
        <v>0.14988968824488208</v>
      </c>
      <c r="AG162" s="937">
        <f t="shared" si="104"/>
        <v>0.39545362829303443</v>
      </c>
      <c r="AH162" s="1172">
        <f t="shared" si="100"/>
        <v>0.62096772536421752</v>
      </c>
      <c r="AI162" s="937">
        <f t="shared" si="101"/>
        <v>0.37903227463578248</v>
      </c>
    </row>
    <row r="163" spans="1:35" x14ac:dyDescent="0.2">
      <c r="A163" s="330">
        <v>2042</v>
      </c>
      <c r="B163" s="344">
        <v>0</v>
      </c>
      <c r="C163" s="345">
        <v>8.5733742014183309E-2</v>
      </c>
      <c r="D163" s="345">
        <v>0.29542607817772648</v>
      </c>
      <c r="E163" s="345">
        <v>0.39893039409666931</v>
      </c>
      <c r="F163" s="345">
        <v>0.44325921868103524</v>
      </c>
      <c r="G163" s="345">
        <v>0.45446046947573082</v>
      </c>
      <c r="H163" s="345">
        <v>0.44989106422331093</v>
      </c>
      <c r="I163" s="345">
        <v>0.43730931612358853</v>
      </c>
      <c r="J163" s="345">
        <v>0.42561179817055594</v>
      </c>
      <c r="K163" s="345">
        <v>0.41457789150613883</v>
      </c>
      <c r="L163" s="380">
        <v>0.39435609405262784</v>
      </c>
      <c r="M163" s="296">
        <f t="shared" si="94"/>
        <v>0.24279905957382741</v>
      </c>
      <c r="N163" s="298">
        <f t="shared" si="95"/>
        <v>0.19371712948169986</v>
      </c>
      <c r="O163" s="344">
        <v>0</v>
      </c>
      <c r="P163" s="345">
        <v>0.12364109938566353</v>
      </c>
      <c r="Q163" s="345">
        <v>0.32131103482890105</v>
      </c>
      <c r="R163" s="345">
        <v>0.4121103449263509</v>
      </c>
      <c r="S163" s="345">
        <v>0.44321882318120304</v>
      </c>
      <c r="T163" s="345">
        <v>0.44068778414586646</v>
      </c>
      <c r="U163" s="345">
        <v>0.4324557182234095</v>
      </c>
      <c r="V163" s="345">
        <v>0.42288658995969108</v>
      </c>
      <c r="W163" s="345">
        <v>0.40568927220058171</v>
      </c>
      <c r="X163" s="345">
        <v>0.39435609405262784</v>
      </c>
      <c r="Y163" s="380">
        <v>0.3828145983879585</v>
      </c>
      <c r="Z163" s="296">
        <f t="shared" si="89"/>
        <v>0.14864498552251351</v>
      </c>
      <c r="AA163" s="298">
        <f t="shared" si="90"/>
        <v>0.12911598603258817</v>
      </c>
      <c r="AB163" s="948">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49">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6">
        <f t="shared" si="105"/>
        <v>0</v>
      </c>
      <c r="AE163" s="937">
        <f t="shared" si="102"/>
        <v>0.24279905957382741</v>
      </c>
      <c r="AF163" s="937">
        <f t="shared" si="103"/>
        <v>0.14864498552251351</v>
      </c>
      <c r="AG163" s="937">
        <f t="shared" si="104"/>
        <v>0.3914440450963409</v>
      </c>
      <c r="AH163" s="1172">
        <f t="shared" si="100"/>
        <v>0.62026504839042962</v>
      </c>
      <c r="AI163" s="937">
        <f t="shared" si="101"/>
        <v>0.37973495160957044</v>
      </c>
    </row>
    <row r="164" spans="1:35" x14ac:dyDescent="0.2">
      <c r="A164" s="330">
        <v>2043</v>
      </c>
      <c r="B164" s="344">
        <v>0</v>
      </c>
      <c r="C164" s="345">
        <v>0.10988867639097968</v>
      </c>
      <c r="D164" s="345">
        <v>0.32144924428639116</v>
      </c>
      <c r="E164" s="345">
        <v>0.41754440426515088</v>
      </c>
      <c r="F164" s="345">
        <v>0.43265891273051132</v>
      </c>
      <c r="G164" s="345">
        <v>0.42670123738237875</v>
      </c>
      <c r="H164" s="345">
        <v>0.41546427888680565</v>
      </c>
      <c r="I164" s="345">
        <v>0.40134195589423027</v>
      </c>
      <c r="J164" s="345">
        <v>0.38869617231401904</v>
      </c>
      <c r="K164" s="345">
        <v>0.3813458284925702</v>
      </c>
      <c r="L164" s="380">
        <v>0.36666869219275605</v>
      </c>
      <c r="M164" s="296">
        <f t="shared" si="94"/>
        <v>0.23555412656713065</v>
      </c>
      <c r="N164" s="298">
        <f t="shared" si="95"/>
        <v>0.19342250044264572</v>
      </c>
      <c r="O164" s="344">
        <v>0</v>
      </c>
      <c r="P164" s="345">
        <v>0.15431181364422855</v>
      </c>
      <c r="Q164" s="345">
        <v>0.34630008253155681</v>
      </c>
      <c r="R164" s="345">
        <v>0.41607512761418075</v>
      </c>
      <c r="S164" s="345">
        <v>0.41952610465485934</v>
      </c>
      <c r="T164" s="345">
        <v>0.41066168546354725</v>
      </c>
      <c r="U164" s="345">
        <v>0.39865818112213541</v>
      </c>
      <c r="V164" s="345">
        <v>0.38869617231401904</v>
      </c>
      <c r="W164" s="345">
        <v>0.3736884240247923</v>
      </c>
      <c r="X164" s="345">
        <v>0.3700880409715111</v>
      </c>
      <c r="Y164" s="380">
        <v>0.3604575960785843</v>
      </c>
      <c r="Z164" s="296">
        <f t="shared" si="89"/>
        <v>0.14391629787077997</v>
      </c>
      <c r="AA164" s="298">
        <f t="shared" si="90"/>
        <v>0.12840569850786379</v>
      </c>
      <c r="AB164" s="948">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49">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6">
        <f t="shared" si="105"/>
        <v>0</v>
      </c>
      <c r="AE164" s="937">
        <f t="shared" si="102"/>
        <v>0.23555412656713065</v>
      </c>
      <c r="AF164" s="937">
        <f t="shared" si="103"/>
        <v>0.14391629787077997</v>
      </c>
      <c r="AG164" s="937">
        <f t="shared" si="104"/>
        <v>0.37947042443791063</v>
      </c>
      <c r="AH164" s="1172">
        <f t="shared" si="100"/>
        <v>0.62074436213584883</v>
      </c>
      <c r="AI164" s="937">
        <f t="shared" si="101"/>
        <v>0.37925563786415117</v>
      </c>
    </row>
    <row r="165" spans="1:35" x14ac:dyDescent="0.2">
      <c r="A165" s="330">
        <v>2044</v>
      </c>
      <c r="B165" s="344">
        <v>0</v>
      </c>
      <c r="C165" s="345">
        <v>0.13802650104292027</v>
      </c>
      <c r="D165" s="345">
        <v>0.3451499653800445</v>
      </c>
      <c r="E165" s="345">
        <v>0.40146226743468283</v>
      </c>
      <c r="F165" s="345">
        <v>0.40513011160924833</v>
      </c>
      <c r="G165" s="345">
        <v>0.39453640158330927</v>
      </c>
      <c r="H165" s="345">
        <v>0.38180683214921529</v>
      </c>
      <c r="I165" s="345">
        <v>0.37204730123946939</v>
      </c>
      <c r="J165" s="345">
        <v>0.36521668914345262</v>
      </c>
      <c r="K165" s="345">
        <v>0.35838691437159997</v>
      </c>
      <c r="L165" s="380">
        <v>0.35248414290723218</v>
      </c>
      <c r="M165" s="296">
        <f t="shared" si="94"/>
        <v>0.22446800635734165</v>
      </c>
      <c r="N165" s="298">
        <f t="shared" si="95"/>
        <v>0.18867594505677651</v>
      </c>
      <c r="O165" s="344">
        <v>0</v>
      </c>
      <c r="P165" s="345">
        <v>0.17520338652307624</v>
      </c>
      <c r="Q165" s="345">
        <v>0.3546563508785367</v>
      </c>
      <c r="R165" s="345">
        <v>0.38637277916483115</v>
      </c>
      <c r="S165" s="345">
        <v>0.38859445446199087</v>
      </c>
      <c r="T165" s="345">
        <v>0.37712321918654096</v>
      </c>
      <c r="U165" s="345">
        <v>0.36943206874692203</v>
      </c>
      <c r="V165" s="345">
        <v>0.36446626617954703</v>
      </c>
      <c r="W165" s="345">
        <v>0.35530922434160445</v>
      </c>
      <c r="X165" s="345">
        <v>0.35248414290723218</v>
      </c>
      <c r="Y165" s="380">
        <v>0.34767557264003096</v>
      </c>
      <c r="Z165" s="296">
        <f t="shared" si="89"/>
        <v>0.13597487891429871</v>
      </c>
      <c r="AA165" s="298">
        <f t="shared" si="90"/>
        <v>0.12335780836882559</v>
      </c>
      <c r="AB165" s="948">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49">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6">
        <f t="shared" si="105"/>
        <v>0</v>
      </c>
      <c r="AE165" s="937">
        <f t="shared" si="102"/>
        <v>0.22446800635734165</v>
      </c>
      <c r="AF165" s="937">
        <f t="shared" si="103"/>
        <v>0.13597487891429871</v>
      </c>
      <c r="AG165" s="937">
        <f t="shared" si="104"/>
        <v>0.36044288527164037</v>
      </c>
      <c r="AH165" s="1172">
        <f t="shared" si="100"/>
        <v>0.62275610236605439</v>
      </c>
      <c r="AI165" s="937">
        <f t="shared" si="101"/>
        <v>0.37724389763394567</v>
      </c>
    </row>
    <row r="166" spans="1:35" ht="13.5" thickBot="1" x14ac:dyDescent="0.25">
      <c r="A166" s="328">
        <v>2045</v>
      </c>
      <c r="B166" s="346">
        <v>0</v>
      </c>
      <c r="C166" s="347">
        <v>0.15724084318385975</v>
      </c>
      <c r="D166" s="347">
        <v>0.34241935994684264</v>
      </c>
      <c r="E166" s="347">
        <v>0.35135900019352517</v>
      </c>
      <c r="F166" s="347">
        <v>0.37275855400321822</v>
      </c>
      <c r="G166" s="347">
        <v>0.36957540796360222</v>
      </c>
      <c r="H166" s="347">
        <v>0.35816644754941801</v>
      </c>
      <c r="I166" s="347">
        <v>0.35378373924488249</v>
      </c>
      <c r="J166" s="347">
        <v>0.34850549085284588</v>
      </c>
      <c r="K166" s="347">
        <v>0.34590541966569066</v>
      </c>
      <c r="L166" s="381">
        <v>0.34163141408734382</v>
      </c>
      <c r="M166" s="310">
        <f t="shared" si="94"/>
        <v>0.21057347839045634</v>
      </c>
      <c r="N166" s="312">
        <f t="shared" si="95"/>
        <v>0.17846572148042972</v>
      </c>
      <c r="O166" s="346">
        <v>4.9669688266295133E-4</v>
      </c>
      <c r="P166" s="347">
        <v>0.1966922058600907</v>
      </c>
      <c r="Q166" s="347">
        <v>0.33637629215195541</v>
      </c>
      <c r="R166" s="347">
        <v>0.33509113074182778</v>
      </c>
      <c r="S166" s="347">
        <v>0.367495804119156</v>
      </c>
      <c r="T166" s="347">
        <v>0.36194288239811279</v>
      </c>
      <c r="U166" s="347">
        <v>0.3530528299181741</v>
      </c>
      <c r="V166" s="347">
        <v>0.35138555428683793</v>
      </c>
      <c r="W166" s="347">
        <v>0.34360660908448337</v>
      </c>
      <c r="X166" s="347">
        <v>0.34163141408734382</v>
      </c>
      <c r="Y166" s="381">
        <v>0.34000445518356948</v>
      </c>
      <c r="Z166" s="310">
        <f t="shared" si="89"/>
        <v>0.12842902715456239</v>
      </c>
      <c r="AA166" s="312">
        <f t="shared" si="90"/>
        <v>0.11720724203718808</v>
      </c>
      <c r="AB166" s="948">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49">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6">
        <f t="shared" si="105"/>
        <v>0</v>
      </c>
      <c r="AE166" s="937">
        <f t="shared" si="102"/>
        <v>0.21057347839045634</v>
      </c>
      <c r="AF166" s="937">
        <f t="shared" si="103"/>
        <v>0.12842902715456239</v>
      </c>
      <c r="AG166" s="937">
        <f t="shared" si="104"/>
        <v>0.33900250554501876</v>
      </c>
      <c r="AH166" s="1172">
        <f t="shared" si="100"/>
        <v>0.62115611225915457</v>
      </c>
      <c r="AI166" s="937">
        <f t="shared" si="101"/>
        <v>0.37884388774084538</v>
      </c>
    </row>
    <row r="167" spans="1:35" x14ac:dyDescent="0.2">
      <c r="A167" s="329">
        <v>2046</v>
      </c>
      <c r="B167" s="342">
        <v>0</v>
      </c>
      <c r="C167" s="343">
        <v>0.16891595542446428</v>
      </c>
      <c r="D167" s="343">
        <v>0.30126472118153308</v>
      </c>
      <c r="E167" s="343">
        <v>0.30453642207159942</v>
      </c>
      <c r="F167" s="343">
        <v>0.36089674605626665</v>
      </c>
      <c r="G167" s="343">
        <v>0.35103097602647959</v>
      </c>
      <c r="H167" s="343">
        <v>0.34719831666763373</v>
      </c>
      <c r="I167" s="343">
        <v>0.34574266435421569</v>
      </c>
      <c r="J167" s="343">
        <v>0.34078293326146075</v>
      </c>
      <c r="K167" s="343">
        <v>0.33878402471737162</v>
      </c>
      <c r="L167" s="379">
        <v>0.33587391082638046</v>
      </c>
      <c r="M167" s="282">
        <f t="shared" si="94"/>
        <v>0.19975482164876462</v>
      </c>
      <c r="N167" s="284">
        <f t="shared" si="95"/>
        <v>0.16813605251534983</v>
      </c>
      <c r="O167" s="342">
        <v>7.9730011053926006E-4</v>
      </c>
      <c r="P167" s="343">
        <v>0.20490422573071407</v>
      </c>
      <c r="Q167" s="343">
        <v>0.29713999333346836</v>
      </c>
      <c r="R167" s="343">
        <v>0.29897255312109944</v>
      </c>
      <c r="S167" s="343">
        <v>0.35253193666382782</v>
      </c>
      <c r="T167" s="343">
        <v>0.34854820849678231</v>
      </c>
      <c r="U167" s="343">
        <v>0.34500991823698601</v>
      </c>
      <c r="V167" s="343">
        <v>0.34310993623854447</v>
      </c>
      <c r="W167" s="343">
        <v>0.33878402471737162</v>
      </c>
      <c r="X167" s="343">
        <v>0.33713788704062986</v>
      </c>
      <c r="Y167" s="379">
        <v>0.33587391082638046</v>
      </c>
      <c r="Z167" s="282">
        <f t="shared" si="89"/>
        <v>0.1219437674607578</v>
      </c>
      <c r="AA167" s="284">
        <f t="shared" si="90"/>
        <v>0.11081049368598252</v>
      </c>
      <c r="AB167" s="948">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49">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6">
        <f t="shared" si="105"/>
        <v>0</v>
      </c>
      <c r="AE167" s="937">
        <f t="shared" si="102"/>
        <v>0.19975482164876462</v>
      </c>
      <c r="AF167" s="937">
        <f t="shared" si="103"/>
        <v>0.1219437674607578</v>
      </c>
      <c r="AG167" s="937">
        <f t="shared" si="104"/>
        <v>0.32169858910952243</v>
      </c>
      <c r="AH167" s="1172">
        <f t="shared" si="100"/>
        <v>0.62093782320182322</v>
      </c>
      <c r="AI167" s="937">
        <f t="shared" si="101"/>
        <v>0.37906217679817672</v>
      </c>
    </row>
    <row r="168" spans="1:35" x14ac:dyDescent="0.2">
      <c r="A168" s="330">
        <v>2047</v>
      </c>
      <c r="B168" s="344">
        <v>0</v>
      </c>
      <c r="C168" s="345">
        <v>0.17270747383827451</v>
      </c>
      <c r="D168" s="345">
        <v>0.27164185869138741</v>
      </c>
      <c r="E168" s="345">
        <v>0.27103038635356674</v>
      </c>
      <c r="F168" s="345">
        <v>0.34694044273139429</v>
      </c>
      <c r="G168" s="345">
        <v>0.34500937751975813</v>
      </c>
      <c r="H168" s="345">
        <v>0.33983518925021666</v>
      </c>
      <c r="I168" s="345">
        <v>0.33893782762083013</v>
      </c>
      <c r="J168" s="345">
        <v>0.33692374990832519</v>
      </c>
      <c r="K168" s="345">
        <v>0.33526535343905411</v>
      </c>
      <c r="L168" s="380">
        <v>0.33314436454503732</v>
      </c>
      <c r="M168" s="296">
        <f t="shared" si="94"/>
        <v>0.19173540412560522</v>
      </c>
      <c r="N168" s="298">
        <f t="shared" si="95"/>
        <v>0.16010991901992261</v>
      </c>
      <c r="O168" s="344">
        <v>1.2832331609963173E-3</v>
      </c>
      <c r="P168" s="345">
        <v>0.1996551375294783</v>
      </c>
      <c r="Q168" s="345">
        <v>0.2646001240384005</v>
      </c>
      <c r="R168" s="345">
        <v>0.26973737490540123</v>
      </c>
      <c r="S168" s="345">
        <v>0.33950909674221819</v>
      </c>
      <c r="T168" s="345">
        <v>0.34067741910216931</v>
      </c>
      <c r="U168" s="345">
        <v>0.33821184270033461</v>
      </c>
      <c r="V168" s="345">
        <v>0.33692374990832519</v>
      </c>
      <c r="W168" s="345">
        <v>0.3339921073787207</v>
      </c>
      <c r="X168" s="345">
        <v>0.3339921073787207</v>
      </c>
      <c r="Y168" s="380">
        <v>0.33314436454503732</v>
      </c>
      <c r="Z168" s="296">
        <f t="shared" si="89"/>
        <v>0.11639955294050802</v>
      </c>
      <c r="AA168" s="298">
        <f t="shared" si="90"/>
        <v>0.10482625440301849</v>
      </c>
      <c r="AB168" s="948">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49">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6">
        <f t="shared" si="105"/>
        <v>0</v>
      </c>
      <c r="AE168" s="937">
        <f t="shared" si="102"/>
        <v>0.19173540412560522</v>
      </c>
      <c r="AF168" s="937">
        <f t="shared" si="103"/>
        <v>0.11639955294050802</v>
      </c>
      <c r="AG168" s="937">
        <f t="shared" si="104"/>
        <v>0.30813495706611327</v>
      </c>
      <c r="AH168" s="1172">
        <f t="shared" si="100"/>
        <v>0.62224489538999816</v>
      </c>
      <c r="AI168" s="937">
        <f t="shared" si="101"/>
        <v>0.37775510461000178</v>
      </c>
    </row>
    <row r="169" spans="1:35" x14ac:dyDescent="0.2">
      <c r="A169" s="330">
        <v>2048</v>
      </c>
      <c r="B169" s="344">
        <v>0</v>
      </c>
      <c r="C169" s="345">
        <v>0.16134322919550823</v>
      </c>
      <c r="D169" s="345">
        <v>0.24582410744943684</v>
      </c>
      <c r="E169" s="345">
        <v>0.25555002565377677</v>
      </c>
      <c r="F169" s="345">
        <v>0.33843783543957556</v>
      </c>
      <c r="G169" s="345">
        <v>0.33776821961583325</v>
      </c>
      <c r="H169" s="345">
        <v>0.33704885086184111</v>
      </c>
      <c r="I169" s="345">
        <v>0.33575010650941317</v>
      </c>
      <c r="J169" s="345">
        <v>0.33408408251510968</v>
      </c>
      <c r="K169" s="345">
        <v>0.3328050710834457</v>
      </c>
      <c r="L169" s="380">
        <v>0.33195353328949506</v>
      </c>
      <c r="M169" s="296">
        <f t="shared" si="94"/>
        <v>0.1862900745731309</v>
      </c>
      <c r="N169" s="298">
        <f t="shared" si="95"/>
        <v>0.15368466263519479</v>
      </c>
      <c r="O169" s="344">
        <v>1.7852239832751512E-3</v>
      </c>
      <c r="P169" s="345">
        <v>0.18247576797244242</v>
      </c>
      <c r="Q169" s="345">
        <v>0.24892304954287675</v>
      </c>
      <c r="R169" s="345">
        <v>0.25503456977158578</v>
      </c>
      <c r="S169" s="345">
        <v>0.33853207645856154</v>
      </c>
      <c r="T169" s="345">
        <v>0.33688753313251635</v>
      </c>
      <c r="U169" s="345">
        <v>0.33502740257501001</v>
      </c>
      <c r="V169" s="345">
        <v>0.33408408251510968</v>
      </c>
      <c r="W169" s="345">
        <v>0.3328050710834457</v>
      </c>
      <c r="X169" s="345">
        <v>0.33195353328949506</v>
      </c>
      <c r="Y169" s="380">
        <v>0.33160975231252776</v>
      </c>
      <c r="Z169" s="296">
        <f t="shared" si="89"/>
        <v>0.11378731500457735</v>
      </c>
      <c r="AA169" s="298">
        <f t="shared" si="90"/>
        <v>0.10135406296002837</v>
      </c>
      <c r="AB169" s="948">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49">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6">
        <f t="shared" si="105"/>
        <v>0</v>
      </c>
      <c r="AE169" s="937">
        <f t="shared" si="102"/>
        <v>0.1862900745731309</v>
      </c>
      <c r="AF169" s="937">
        <f t="shared" si="103"/>
        <v>0.11378731500457735</v>
      </c>
      <c r="AG169" s="937">
        <f t="shared" si="104"/>
        <v>0.30007738957770824</v>
      </c>
      <c r="AH169" s="1172">
        <f t="shared" si="100"/>
        <v>0.62080676866488504</v>
      </c>
      <c r="AI169" s="937">
        <f t="shared" si="101"/>
        <v>0.37919323133511501</v>
      </c>
    </row>
    <row r="170" spans="1:35" x14ac:dyDescent="0.2">
      <c r="A170" s="330">
        <v>2049</v>
      </c>
      <c r="B170" s="344">
        <v>1.8679181803093106E-4</v>
      </c>
      <c r="C170" s="345">
        <v>0.15116811661167667</v>
      </c>
      <c r="D170" s="345">
        <v>0.23488577196284607</v>
      </c>
      <c r="E170" s="345">
        <v>0.25370281473772555</v>
      </c>
      <c r="F170" s="345">
        <v>0.33435322149207453</v>
      </c>
      <c r="G170" s="345">
        <v>0.33617672161768197</v>
      </c>
      <c r="H170" s="345">
        <v>0.33430147077127131</v>
      </c>
      <c r="I170" s="345">
        <v>0.33335269916922161</v>
      </c>
      <c r="J170" s="345">
        <v>0.33207014923955158</v>
      </c>
      <c r="K170" s="345">
        <v>0.33121628274091042</v>
      </c>
      <c r="L170" s="380">
        <v>0.33087156777359761</v>
      </c>
      <c r="M170" s="296">
        <f t="shared" si="94"/>
        <v>0.18397269872414398</v>
      </c>
      <c r="N170" s="298">
        <f t="shared" si="95"/>
        <v>0.1508043103317237</v>
      </c>
      <c r="O170" s="344">
        <v>2.09909346150646E-3</v>
      </c>
      <c r="P170" s="345">
        <v>0.16391264688285462</v>
      </c>
      <c r="Q170" s="345">
        <v>0.23416713507860673</v>
      </c>
      <c r="R170" s="345">
        <v>0.24727065864620992</v>
      </c>
      <c r="S170" s="345">
        <v>0.33466359377634675</v>
      </c>
      <c r="T170" s="345">
        <v>0.33561325025249805</v>
      </c>
      <c r="U170" s="345">
        <v>0.33430147077127131</v>
      </c>
      <c r="V170" s="345">
        <v>0.33207014923955158</v>
      </c>
      <c r="W170" s="345">
        <v>0.33121628274091042</v>
      </c>
      <c r="X170" s="345">
        <v>0.33121628274091042</v>
      </c>
      <c r="Y170" s="380">
        <v>0.33087156777359761</v>
      </c>
      <c r="Z170" s="296">
        <f t="shared" si="89"/>
        <v>0.1116363513871638</v>
      </c>
      <c r="AA170" s="298">
        <f t="shared" si="90"/>
        <v>9.8266018599429655E-2</v>
      </c>
      <c r="AB170" s="948">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49">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6">
        <f t="shared" si="105"/>
        <v>0</v>
      </c>
      <c r="AE170" s="937">
        <f t="shared" si="102"/>
        <v>0.18397269872414398</v>
      </c>
      <c r="AF170" s="937">
        <f t="shared" si="103"/>
        <v>0.1116363513871638</v>
      </c>
      <c r="AG170" s="937">
        <f t="shared" si="104"/>
        <v>0.29560905011130778</v>
      </c>
      <c r="AH170" s="1172">
        <f t="shared" si="100"/>
        <v>0.62235137474604185</v>
      </c>
      <c r="AI170" s="937">
        <f t="shared" si="101"/>
        <v>0.37764862525395809</v>
      </c>
    </row>
    <row r="171" spans="1:35" ht="13.5" thickBot="1" x14ac:dyDescent="0.25">
      <c r="A171" s="328">
        <v>2050</v>
      </c>
      <c r="B171" s="346">
        <v>2.4659165236042105E-4</v>
      </c>
      <c r="C171" s="347">
        <v>0.13223180547158345</v>
      </c>
      <c r="D171" s="347">
        <v>0.21764007754748796</v>
      </c>
      <c r="E171" s="347">
        <v>0.24157367104705044</v>
      </c>
      <c r="F171" s="347">
        <v>0.32718226772007547</v>
      </c>
      <c r="G171" s="347">
        <v>0.33269958453492759</v>
      </c>
      <c r="H171" s="347">
        <v>0.33148770176016934</v>
      </c>
      <c r="I171" s="347">
        <v>0.33091861552592566</v>
      </c>
      <c r="J171" s="347">
        <v>0.33006113122594249</v>
      </c>
      <c r="K171" s="347">
        <v>0.33006113122594249</v>
      </c>
      <c r="L171" s="381">
        <v>0.3297149653991413</v>
      </c>
      <c r="M171" s="310">
        <f t="shared" si="94"/>
        <v>0.17957772239124006</v>
      </c>
      <c r="N171" s="312">
        <f t="shared" si="95"/>
        <v>0.14517097219731714</v>
      </c>
      <c r="O171" s="346">
        <v>2.2520145832339048E-3</v>
      </c>
      <c r="P171" s="347">
        <v>0.15154085414927013</v>
      </c>
      <c r="Q171" s="347">
        <v>0.21793689580805936</v>
      </c>
      <c r="R171" s="347">
        <v>0.24038628665649883</v>
      </c>
      <c r="S171" s="347">
        <v>0.33062342626864299</v>
      </c>
      <c r="T171" s="347">
        <v>0.33245150237564325</v>
      </c>
      <c r="U171" s="347">
        <v>0.33220666380796976</v>
      </c>
      <c r="V171" s="347">
        <v>0.33091861552592566</v>
      </c>
      <c r="W171" s="347">
        <v>0.3297149653991413</v>
      </c>
      <c r="X171" s="347">
        <v>0.3297149653991413</v>
      </c>
      <c r="Y171" s="381">
        <v>0.3297149653991413</v>
      </c>
      <c r="Z171" s="310">
        <f t="shared" si="89"/>
        <v>0.10947147434353904</v>
      </c>
      <c r="AA171" s="312">
        <f t="shared" si="90"/>
        <v>9.543654550383654E-2</v>
      </c>
      <c r="AB171" s="950">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1">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7">
        <f t="shared" si="105"/>
        <v>0</v>
      </c>
      <c r="AE171" s="937">
        <f t="shared" si="102"/>
        <v>0.17957772239124006</v>
      </c>
      <c r="AF171" s="937">
        <f t="shared" si="103"/>
        <v>0.10947147434353904</v>
      </c>
      <c r="AG171" s="937">
        <f t="shared" si="104"/>
        <v>0.28904919673477913</v>
      </c>
      <c r="AH171" s="1172">
        <f t="shared" si="100"/>
        <v>0.62127044260916575</v>
      </c>
      <c r="AI171" s="937">
        <f t="shared" si="101"/>
        <v>0.37872955739083414</v>
      </c>
    </row>
    <row r="172" spans="1:35" x14ac:dyDescent="0.2">
      <c r="B172" s="227" t="str">
        <f>B$120</f>
        <v>Output generated: 8/27/2020 18:37</v>
      </c>
      <c r="O172" s="227" t="str">
        <f>O$120</f>
        <v>Output generated: 8/27/2020 18:37</v>
      </c>
      <c r="AE172" s="937">
        <f t="shared" si="102"/>
        <v>0</v>
      </c>
      <c r="AF172" s="937">
        <f t="shared" si="103"/>
        <v>0</v>
      </c>
      <c r="AG172" s="937">
        <f t="shared" si="104"/>
        <v>0</v>
      </c>
      <c r="AH172" s="1172">
        <f t="shared" si="100"/>
        <v>0</v>
      </c>
      <c r="AI172" s="937">
        <f t="shared" si="101"/>
        <v>0</v>
      </c>
    </row>
    <row r="173" spans="1:35" ht="13.5" thickBot="1" x14ac:dyDescent="0.25">
      <c r="AE173" s="937"/>
      <c r="AF173" s="937"/>
      <c r="AG173" s="937"/>
      <c r="AH173" s="937"/>
      <c r="AI173" s="937"/>
    </row>
    <row r="174" spans="1:35" ht="15" x14ac:dyDescent="0.25">
      <c r="A174" s="333"/>
      <c r="B174" s="1538" t="s">
        <v>255</v>
      </c>
      <c r="C174" s="1539"/>
      <c r="D174" s="1539"/>
      <c r="E174" s="1539"/>
      <c r="F174" s="1539"/>
      <c r="G174" s="1539"/>
      <c r="H174" s="1539"/>
      <c r="I174" s="1539"/>
      <c r="J174" s="1539"/>
      <c r="K174" s="1539"/>
      <c r="L174" s="1539"/>
      <c r="M174" s="1539"/>
      <c r="N174" s="1540"/>
      <c r="O174" s="1538" t="s">
        <v>256</v>
      </c>
      <c r="P174" s="1539"/>
      <c r="Q174" s="1539"/>
      <c r="R174" s="1539"/>
      <c r="S174" s="1539"/>
      <c r="T174" s="1539"/>
      <c r="U174" s="1539"/>
      <c r="V174" s="1539"/>
      <c r="W174" s="1539"/>
      <c r="X174" s="1539"/>
      <c r="Y174" s="1539"/>
      <c r="Z174" s="1539"/>
      <c r="AA174" s="1540"/>
      <c r="AE174" s="937"/>
      <c r="AF174" s="937"/>
      <c r="AG174" s="937"/>
      <c r="AH174" s="937"/>
      <c r="AI174" s="937"/>
    </row>
    <row r="175" spans="1:35" x14ac:dyDescent="0.2">
      <c r="A175" s="324"/>
      <c r="B175" s="1535" t="s">
        <v>121</v>
      </c>
      <c r="C175" s="1536"/>
      <c r="D175" s="1536"/>
      <c r="E175" s="1536"/>
      <c r="F175" s="1536"/>
      <c r="G175" s="1536"/>
      <c r="H175" s="1536"/>
      <c r="I175" s="1536"/>
      <c r="J175" s="1536"/>
      <c r="K175" s="1536"/>
      <c r="L175" s="1536"/>
      <c r="M175" s="382"/>
      <c r="N175" s="325"/>
      <c r="O175" s="1535" t="s">
        <v>121</v>
      </c>
      <c r="P175" s="1536"/>
      <c r="Q175" s="1536"/>
      <c r="R175" s="1536"/>
      <c r="S175" s="1536"/>
      <c r="T175" s="1536"/>
      <c r="U175" s="1536"/>
      <c r="V175" s="1536"/>
      <c r="W175" s="1536"/>
      <c r="X175" s="1536"/>
      <c r="Y175" s="1536"/>
      <c r="Z175" s="382"/>
      <c r="AA175" s="325"/>
      <c r="AC175" s="954" t="s">
        <v>267</v>
      </c>
      <c r="AD175" s="234" t="b">
        <f>INDEX(TECH_OPT_FUEL2_Cls2,MATCH(RIGHT(O174),TECH_OPT_ROWS_Cls2,0))&lt;&gt;"N/A"</f>
        <v>0</v>
      </c>
      <c r="AE175" s="937"/>
      <c r="AF175" s="937"/>
      <c r="AG175" s="937"/>
      <c r="AH175" s="937"/>
      <c r="AI175" s="937"/>
    </row>
    <row r="176" spans="1:35" ht="13.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MATCH(RIGHT(O174),TECH_OPT_ROWS_Cls2,0)</f>
        <v>4</v>
      </c>
      <c r="AE176" s="937"/>
      <c r="AF176" s="937"/>
      <c r="AG176" s="937"/>
      <c r="AH176" s="937"/>
      <c r="AI176" s="937"/>
    </row>
    <row r="177" spans="1:39" ht="14.25"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09">
        <v>5.2963907111801883E-3</v>
      </c>
      <c r="Z177" s="1214"/>
      <c r="AA177" s="1215"/>
    </row>
    <row r="178" spans="1:39" x14ac:dyDescent="0.2">
      <c r="A178" s="331" t="s">
        <v>125</v>
      </c>
      <c r="B178" s="923">
        <f t="array" ref="B178:L178">TRANSPOSE(Cls2CentVMTShr)</f>
        <v>6.3375455551975849E-3</v>
      </c>
      <c r="C178" s="924">
        <v>3.496913005496359E-2</v>
      </c>
      <c r="D178" s="924">
        <v>5.9955127131675522E-2</v>
      </c>
      <c r="E178" s="924">
        <v>8.4599669387910512E-2</v>
      </c>
      <c r="F178" s="924">
        <v>0.12702701008436962</v>
      </c>
      <c r="G178" s="924">
        <v>6.7204731283582092E-2</v>
      </c>
      <c r="H178" s="924">
        <v>8.8708982453757024E-2</v>
      </c>
      <c r="I178" s="924">
        <v>6.4694225377098208E-2</v>
      </c>
      <c r="J178" s="924">
        <v>3.2526447027526634E-2</v>
      </c>
      <c r="K178" s="924">
        <v>1.589064319454132E-2</v>
      </c>
      <c r="L178" s="1210">
        <v>3.2608183213810787E-2</v>
      </c>
      <c r="M178" s="1211"/>
      <c r="N178" s="1212"/>
      <c r="O178" s="923">
        <f t="array" ref="O178:Y178">TRANSPOSE(Cls2NCentVMTShr)</f>
        <v>8.1228463417563086E-3</v>
      </c>
      <c r="P178" s="924">
        <v>2.7563836768431361E-2</v>
      </c>
      <c r="Q178" s="924">
        <v>4.1883113088337191E-2</v>
      </c>
      <c r="R178" s="924">
        <v>6.4289357588678764E-2</v>
      </c>
      <c r="S178" s="924">
        <v>9.1183275251204537E-2</v>
      </c>
      <c r="T178" s="924">
        <v>5.1984283219922628E-2</v>
      </c>
      <c r="U178" s="924">
        <v>5.0286059545109812E-2</v>
      </c>
      <c r="V178" s="924">
        <v>1.5542287574292338E-2</v>
      </c>
      <c r="W178" s="924">
        <v>1.4506257462625264E-2</v>
      </c>
      <c r="X178" s="924">
        <v>4.9330966304706684E-3</v>
      </c>
      <c r="Y178" s="925">
        <v>1.5183891764738403E-2</v>
      </c>
      <c r="Z178" s="1211"/>
      <c r="AA178" s="1212"/>
      <c r="AB178" s="1551" t="str">
        <f>"% of miles on f2 for Tech "&amp; RIGHT(O173)&amp;" adopters"</f>
        <v>% of miles on f2 for Tech  adopters</v>
      </c>
      <c r="AC178" s="1552"/>
      <c r="AD178" s="1553"/>
      <c r="AE178" s="937" t="s">
        <v>303</v>
      </c>
      <c r="AF178" s="937"/>
      <c r="AG178" s="937"/>
      <c r="AH178" s="1172" t="s">
        <v>304</v>
      </c>
      <c r="AI178" s="937"/>
    </row>
    <row r="179" spans="1:39" ht="13.5" thickBot="1" x14ac:dyDescent="0.25">
      <c r="A179" s="942" t="s">
        <v>266</v>
      </c>
      <c r="B179" s="933">
        <f t="array" ref="B179:L179">TRANSPOSE(Cls2CentVMT/OPDAYS_Cls2)</f>
        <v>49.332453271995263</v>
      </c>
      <c r="C179" s="934">
        <v>120.11441047790339</v>
      </c>
      <c r="D179" s="934">
        <v>200.99157969807086</v>
      </c>
      <c r="E179" s="934">
        <v>280.98421424125928</v>
      </c>
      <c r="F179" s="934">
        <v>358.20644524895255</v>
      </c>
      <c r="G179" s="934">
        <v>432.82805471770689</v>
      </c>
      <c r="H179" s="934">
        <v>517.10615118099815</v>
      </c>
      <c r="I179" s="934">
        <v>597.8087063838957</v>
      </c>
      <c r="J179" s="934">
        <v>676.93419409560215</v>
      </c>
      <c r="K179" s="934">
        <v>746.82245226325631</v>
      </c>
      <c r="L179" s="935">
        <v>895.92826380844349</v>
      </c>
      <c r="M179" s="931"/>
      <c r="N179" s="932"/>
      <c r="O179" s="933">
        <f t="array" ref="O179:Y179">TRANSPOSE(Cls2NCentVMT/OPDAYS_Cls2)</f>
        <v>54.31462614952413</v>
      </c>
      <c r="P179" s="934">
        <v>126.62311644744663</v>
      </c>
      <c r="Q179" s="934">
        <v>206.96826351576016</v>
      </c>
      <c r="R179" s="934">
        <v>286.46600131499179</v>
      </c>
      <c r="S179" s="934">
        <v>358.9638908170715</v>
      </c>
      <c r="T179" s="934">
        <v>450.55545819643328</v>
      </c>
      <c r="U179" s="934">
        <v>511.93098482414172</v>
      </c>
      <c r="V179" s="934">
        <v>579.22933632093111</v>
      </c>
      <c r="W179" s="934">
        <v>695.25665569614875</v>
      </c>
      <c r="X179" s="934">
        <v>759.80682330760794</v>
      </c>
      <c r="Y179" s="1213">
        <v>882.81167173661356</v>
      </c>
      <c r="Z179" s="943"/>
      <c r="AA179" s="932"/>
      <c r="AB179" s="945" t="s">
        <v>186</v>
      </c>
      <c r="AC179" s="946" t="s">
        <v>15</v>
      </c>
      <c r="AD179" s="947" t="s">
        <v>18</v>
      </c>
      <c r="AE179" s="937" t="s">
        <v>186</v>
      </c>
      <c r="AF179" s="937" t="s">
        <v>15</v>
      </c>
      <c r="AG179" s="937" t="s">
        <v>18</v>
      </c>
      <c r="AH179" s="1172" t="s">
        <v>186</v>
      </c>
      <c r="AI179" s="937" t="s">
        <v>15</v>
      </c>
      <c r="AJ179" s="323"/>
      <c r="AK179" s="323"/>
      <c r="AL179" s="323"/>
      <c r="AM179" s="323"/>
    </row>
    <row r="180" spans="1:39" ht="13.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8">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49">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6">
        <f>AB180*AH180+AC180*AI180</f>
        <v>0</v>
      </c>
      <c r="AE180" s="937">
        <f t="shared" ref="AE180:AE194" si="106">SUMPRODUCT($B$74:$L$74,B180:L180)</f>
        <v>0</v>
      </c>
      <c r="AF180" s="937">
        <f t="shared" ref="AF180:AF194" si="107">SUMPRODUCT($O$74:$Y$74,O180:Y180)</f>
        <v>0</v>
      </c>
      <c r="AG180" s="937">
        <f t="shared" ref="AG180:AG194" si="108">SUM(AE180:AF180)</f>
        <v>0</v>
      </c>
      <c r="AH180" s="1172">
        <f>IF(AG180&gt;0,AE180/AG180,0)</f>
        <v>0</v>
      </c>
      <c r="AI180" s="937">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8">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49">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6">
        <f t="shared" ref="AD181:AD205" si="113">AB181*AH181+AC181*AI181</f>
        <v>0</v>
      </c>
      <c r="AE181" s="937">
        <f t="shared" si="106"/>
        <v>0</v>
      </c>
      <c r="AF181" s="937">
        <f t="shared" si="107"/>
        <v>0</v>
      </c>
      <c r="AG181" s="937">
        <f t="shared" si="108"/>
        <v>0</v>
      </c>
      <c r="AH181" s="1172">
        <f t="shared" ref="AH181:AH199" si="114">IF(AG181&gt;0,AE181/AG181,0)</f>
        <v>0</v>
      </c>
      <c r="AI181" s="937">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8">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49">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6">
        <f t="shared" si="113"/>
        <v>0</v>
      </c>
      <c r="AE182" s="937">
        <f t="shared" si="106"/>
        <v>0</v>
      </c>
      <c r="AF182" s="937">
        <f t="shared" si="107"/>
        <v>0</v>
      </c>
      <c r="AG182" s="937">
        <f t="shared" si="108"/>
        <v>0</v>
      </c>
      <c r="AH182" s="1172">
        <f t="shared" si="114"/>
        <v>0</v>
      </c>
      <c r="AI182" s="937">
        <f t="shared" si="115"/>
        <v>0</v>
      </c>
    </row>
    <row r="183" spans="1:39" ht="13.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8">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49">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6">
        <f t="shared" si="113"/>
        <v>0</v>
      </c>
      <c r="AE183" s="937">
        <f t="shared" si="106"/>
        <v>0</v>
      </c>
      <c r="AF183" s="937">
        <f t="shared" si="107"/>
        <v>0</v>
      </c>
      <c r="AG183" s="937">
        <f t="shared" si="108"/>
        <v>0</v>
      </c>
      <c r="AH183" s="1172">
        <f t="shared" si="114"/>
        <v>0</v>
      </c>
      <c r="AI183" s="937">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8">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49">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6">
        <f t="shared" si="113"/>
        <v>0</v>
      </c>
      <c r="AE184" s="937">
        <f t="shared" si="106"/>
        <v>0</v>
      </c>
      <c r="AF184" s="937">
        <f t="shared" si="107"/>
        <v>0</v>
      </c>
      <c r="AG184" s="937">
        <f t="shared" si="108"/>
        <v>0</v>
      </c>
      <c r="AH184" s="1172">
        <f t="shared" si="114"/>
        <v>0</v>
      </c>
      <c r="AI184" s="937">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8">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49">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6">
        <f t="shared" si="113"/>
        <v>0</v>
      </c>
      <c r="AE185" s="937">
        <f t="shared" si="106"/>
        <v>0</v>
      </c>
      <c r="AF185" s="937">
        <f t="shared" si="107"/>
        <v>0</v>
      </c>
      <c r="AG185" s="937">
        <f t="shared" si="108"/>
        <v>0</v>
      </c>
      <c r="AH185" s="1172">
        <f t="shared" si="114"/>
        <v>0</v>
      </c>
      <c r="AI185" s="937">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8">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49">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6">
        <f t="shared" si="113"/>
        <v>0</v>
      </c>
      <c r="AE186" s="937">
        <f t="shared" si="106"/>
        <v>0</v>
      </c>
      <c r="AF186" s="937">
        <f t="shared" si="107"/>
        <v>0</v>
      </c>
      <c r="AG186" s="937">
        <f t="shared" si="108"/>
        <v>0</v>
      </c>
      <c r="AH186" s="1172">
        <f t="shared" si="114"/>
        <v>0</v>
      </c>
      <c r="AI186" s="937">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8">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49">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6">
        <f t="shared" si="113"/>
        <v>0</v>
      </c>
      <c r="AE187" s="937">
        <f t="shared" si="106"/>
        <v>0</v>
      </c>
      <c r="AF187" s="937">
        <f t="shared" si="107"/>
        <v>0</v>
      </c>
      <c r="AG187" s="937">
        <f t="shared" si="108"/>
        <v>0</v>
      </c>
      <c r="AH187" s="1172">
        <f t="shared" si="114"/>
        <v>0</v>
      </c>
      <c r="AI187" s="937">
        <f t="shared" si="115"/>
        <v>0</v>
      </c>
    </row>
    <row r="188" spans="1:39" ht="13.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8">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49">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6">
        <f t="shared" si="113"/>
        <v>0</v>
      </c>
      <c r="AE188" s="937">
        <f t="shared" si="106"/>
        <v>0</v>
      </c>
      <c r="AF188" s="937">
        <f t="shared" si="107"/>
        <v>0</v>
      </c>
      <c r="AG188" s="937">
        <f t="shared" si="108"/>
        <v>0</v>
      </c>
      <c r="AH188" s="1172">
        <f t="shared" si="114"/>
        <v>0</v>
      </c>
      <c r="AI188" s="937">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8">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49">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6">
        <f t="shared" si="113"/>
        <v>0</v>
      </c>
      <c r="AE189" s="937">
        <f t="shared" si="106"/>
        <v>0</v>
      </c>
      <c r="AF189" s="937">
        <f t="shared" si="107"/>
        <v>0</v>
      </c>
      <c r="AG189" s="937">
        <f t="shared" si="108"/>
        <v>0</v>
      </c>
      <c r="AH189" s="1172">
        <f t="shared" si="114"/>
        <v>0</v>
      </c>
      <c r="AI189" s="937">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8">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49">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6">
        <f t="shared" si="113"/>
        <v>0</v>
      </c>
      <c r="AE190" s="937">
        <f t="shared" si="106"/>
        <v>0</v>
      </c>
      <c r="AF190" s="937">
        <f t="shared" si="107"/>
        <v>0</v>
      </c>
      <c r="AG190" s="937">
        <f t="shared" si="108"/>
        <v>0</v>
      </c>
      <c r="AH190" s="1172">
        <f t="shared" si="114"/>
        <v>0</v>
      </c>
      <c r="AI190" s="937">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8">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49">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6">
        <f t="shared" si="113"/>
        <v>0</v>
      </c>
      <c r="AE191" s="937">
        <f t="shared" si="106"/>
        <v>0</v>
      </c>
      <c r="AF191" s="937">
        <f t="shared" si="107"/>
        <v>0</v>
      </c>
      <c r="AG191" s="937">
        <f t="shared" si="108"/>
        <v>0</v>
      </c>
      <c r="AH191" s="1172">
        <f t="shared" si="114"/>
        <v>0</v>
      </c>
      <c r="AI191" s="937">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8">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49">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6">
        <f t="shared" si="113"/>
        <v>0</v>
      </c>
      <c r="AE192" s="937">
        <f t="shared" si="106"/>
        <v>0</v>
      </c>
      <c r="AF192" s="937">
        <f t="shared" si="107"/>
        <v>0</v>
      </c>
      <c r="AG192" s="937">
        <f t="shared" si="108"/>
        <v>0</v>
      </c>
      <c r="AH192" s="1172">
        <f t="shared" si="114"/>
        <v>0</v>
      </c>
      <c r="AI192" s="937">
        <f t="shared" si="115"/>
        <v>0</v>
      </c>
    </row>
    <row r="193" spans="1:35" ht="13.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8">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49">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6">
        <f t="shared" si="113"/>
        <v>0</v>
      </c>
      <c r="AE193" s="937">
        <f t="shared" si="106"/>
        <v>0</v>
      </c>
      <c r="AF193" s="937">
        <f t="shared" si="107"/>
        <v>0</v>
      </c>
      <c r="AG193" s="937">
        <f t="shared" si="108"/>
        <v>0</v>
      </c>
      <c r="AH193" s="1172">
        <f t="shared" si="114"/>
        <v>0</v>
      </c>
      <c r="AI193" s="937">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8">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49">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6">
        <f t="shared" si="113"/>
        <v>0</v>
      </c>
      <c r="AE194" s="937">
        <f t="shared" si="106"/>
        <v>0</v>
      </c>
      <c r="AF194" s="937">
        <f t="shared" si="107"/>
        <v>0</v>
      </c>
      <c r="AG194" s="937">
        <f t="shared" si="108"/>
        <v>0</v>
      </c>
      <c r="AH194" s="1172">
        <f t="shared" si="114"/>
        <v>0</v>
      </c>
      <c r="AI194" s="937">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8">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49">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6">
        <f t="shared" si="113"/>
        <v>0</v>
      </c>
      <c r="AE195" s="937">
        <f>SUMPRODUCT($B$74:$L$74,B195:L195)</f>
        <v>0</v>
      </c>
      <c r="AF195" s="937">
        <f>SUMPRODUCT($O$74:$Y$74,O195:Y195)</f>
        <v>0</v>
      </c>
      <c r="AG195" s="937">
        <f>SUM(AE195:AF195)</f>
        <v>0</v>
      </c>
      <c r="AH195" s="1172">
        <f t="shared" si="114"/>
        <v>0</v>
      </c>
      <c r="AI195" s="937">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8">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49">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6">
        <f t="shared" si="113"/>
        <v>0</v>
      </c>
      <c r="AE196" s="937">
        <f t="shared" ref="AE196:AE222" si="116">SUMPRODUCT($B$74:$L$74,B196:L196)</f>
        <v>0</v>
      </c>
      <c r="AF196" s="937">
        <f t="shared" ref="AF196:AF222" si="117">SUMPRODUCT($O$74:$Y$74,O196:Y196)</f>
        <v>0</v>
      </c>
      <c r="AG196" s="937">
        <f t="shared" ref="AG196:AG222" si="118">SUM(AE196:AF196)</f>
        <v>0</v>
      </c>
      <c r="AH196" s="1172">
        <f t="shared" si="114"/>
        <v>0</v>
      </c>
      <c r="AI196" s="937">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8">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49">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6">
        <f t="shared" si="113"/>
        <v>0</v>
      </c>
      <c r="AE197" s="937">
        <f t="shared" si="116"/>
        <v>0</v>
      </c>
      <c r="AF197" s="937">
        <f t="shared" si="117"/>
        <v>0</v>
      </c>
      <c r="AG197" s="937">
        <f t="shared" si="118"/>
        <v>0</v>
      </c>
      <c r="AH197" s="1172">
        <f t="shared" si="114"/>
        <v>0</v>
      </c>
      <c r="AI197" s="937">
        <f t="shared" si="115"/>
        <v>0</v>
      </c>
    </row>
    <row r="198" spans="1:35" ht="13.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8">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49">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6">
        <f t="shared" si="113"/>
        <v>0</v>
      </c>
      <c r="AE198" s="937">
        <f t="shared" si="116"/>
        <v>0</v>
      </c>
      <c r="AF198" s="937">
        <f t="shared" si="117"/>
        <v>0</v>
      </c>
      <c r="AG198" s="937">
        <f t="shared" si="118"/>
        <v>0</v>
      </c>
      <c r="AH198" s="1172">
        <f t="shared" si="114"/>
        <v>0</v>
      </c>
      <c r="AI198" s="937">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8">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49">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6">
        <f t="shared" si="113"/>
        <v>0</v>
      </c>
      <c r="AE199" s="937">
        <f t="shared" si="116"/>
        <v>0</v>
      </c>
      <c r="AF199" s="937">
        <f t="shared" si="117"/>
        <v>0</v>
      </c>
      <c r="AG199" s="937">
        <f t="shared" si="118"/>
        <v>0</v>
      </c>
      <c r="AH199" s="1172">
        <f t="shared" si="114"/>
        <v>0</v>
      </c>
      <c r="AI199" s="937">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8">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49">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6">
        <f t="shared" si="113"/>
        <v>0</v>
      </c>
      <c r="AE200" s="937">
        <f t="shared" si="116"/>
        <v>0</v>
      </c>
      <c r="AF200" s="937">
        <f t="shared" si="117"/>
        <v>0</v>
      </c>
      <c r="AG200" s="937">
        <f t="shared" si="118"/>
        <v>0</v>
      </c>
      <c r="AH200" s="1172">
        <f t="shared" ref="AH200:AH222" si="119">IF(AG200&gt;0,AE200/AG200,0)</f>
        <v>0</v>
      </c>
      <c r="AI200" s="937">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8">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49">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6">
        <f t="shared" si="113"/>
        <v>0</v>
      </c>
      <c r="AE201" s="937">
        <f t="shared" si="116"/>
        <v>0</v>
      </c>
      <c r="AF201" s="937">
        <f t="shared" si="117"/>
        <v>0</v>
      </c>
      <c r="AG201" s="937">
        <f t="shared" si="118"/>
        <v>0</v>
      </c>
      <c r="AH201" s="1172">
        <f t="shared" si="119"/>
        <v>0</v>
      </c>
      <c r="AI201" s="937">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8">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49">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6">
        <f t="shared" si="113"/>
        <v>0</v>
      </c>
      <c r="AE202" s="937">
        <f t="shared" si="116"/>
        <v>0</v>
      </c>
      <c r="AF202" s="937">
        <f t="shared" si="117"/>
        <v>0</v>
      </c>
      <c r="AG202" s="937">
        <f t="shared" si="118"/>
        <v>0</v>
      </c>
      <c r="AH202" s="1172">
        <f t="shared" si="119"/>
        <v>0</v>
      </c>
      <c r="AI202" s="937">
        <f t="shared" si="120"/>
        <v>0</v>
      </c>
    </row>
    <row r="203" spans="1:35" ht="13.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8">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49">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6">
        <f t="shared" si="113"/>
        <v>0</v>
      </c>
      <c r="AE203" s="937">
        <f t="shared" si="116"/>
        <v>0</v>
      </c>
      <c r="AF203" s="937">
        <f t="shared" si="117"/>
        <v>0</v>
      </c>
      <c r="AG203" s="937">
        <f t="shared" si="118"/>
        <v>0</v>
      </c>
      <c r="AH203" s="1172">
        <f t="shared" si="119"/>
        <v>0</v>
      </c>
      <c r="AI203" s="937">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0</v>
      </c>
      <c r="M204" s="282">
        <f t="shared" si="109"/>
        <v>0</v>
      </c>
      <c r="N204" s="284">
        <f t="shared" si="110"/>
        <v>0</v>
      </c>
      <c r="O204" s="342">
        <v>0</v>
      </c>
      <c r="P204" s="343">
        <v>0</v>
      </c>
      <c r="Q204" s="343">
        <v>0</v>
      </c>
      <c r="R204" s="343">
        <v>0</v>
      </c>
      <c r="S204" s="343">
        <v>0</v>
      </c>
      <c r="T204" s="343">
        <v>0</v>
      </c>
      <c r="U204" s="343">
        <v>0</v>
      </c>
      <c r="V204" s="343">
        <v>0</v>
      </c>
      <c r="W204" s="343">
        <v>0</v>
      </c>
      <c r="X204" s="343">
        <v>0</v>
      </c>
      <c r="Y204" s="379">
        <v>0</v>
      </c>
      <c r="Z204" s="282">
        <f t="shared" si="111"/>
        <v>0</v>
      </c>
      <c r="AA204" s="284">
        <f t="shared" si="112"/>
        <v>0</v>
      </c>
      <c r="AB204" s="948">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49">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1226">
        <f t="shared" si="113"/>
        <v>0</v>
      </c>
      <c r="AE204" s="937">
        <f t="shared" si="116"/>
        <v>0</v>
      </c>
      <c r="AF204" s="937">
        <f t="shared" si="117"/>
        <v>0</v>
      </c>
      <c r="AG204" s="937">
        <f t="shared" si="118"/>
        <v>0</v>
      </c>
      <c r="AH204" s="1172">
        <f t="shared" si="119"/>
        <v>0</v>
      </c>
      <c r="AI204" s="937">
        <f t="shared" si="120"/>
        <v>0</v>
      </c>
    </row>
    <row r="205" spans="1:35" x14ac:dyDescent="0.2">
      <c r="A205" s="330">
        <v>2032</v>
      </c>
      <c r="B205" s="344">
        <v>0</v>
      </c>
      <c r="C205" s="345">
        <v>0</v>
      </c>
      <c r="D205" s="345">
        <v>0</v>
      </c>
      <c r="E205" s="345">
        <v>0</v>
      </c>
      <c r="F205" s="345">
        <v>0</v>
      </c>
      <c r="G205" s="345">
        <v>0</v>
      </c>
      <c r="H205" s="345">
        <v>0</v>
      </c>
      <c r="I205" s="345">
        <v>0</v>
      </c>
      <c r="J205" s="345">
        <v>0</v>
      </c>
      <c r="K205" s="345">
        <v>0</v>
      </c>
      <c r="L205" s="380">
        <v>0</v>
      </c>
      <c r="M205" s="296">
        <f t="shared" si="109"/>
        <v>0</v>
      </c>
      <c r="N205" s="298">
        <f t="shared" si="110"/>
        <v>0</v>
      </c>
      <c r="O205" s="344">
        <v>0</v>
      </c>
      <c r="P205" s="345">
        <v>0</v>
      </c>
      <c r="Q205" s="345">
        <v>0</v>
      </c>
      <c r="R205" s="345">
        <v>0</v>
      </c>
      <c r="S205" s="345">
        <v>0</v>
      </c>
      <c r="T205" s="345">
        <v>0</v>
      </c>
      <c r="U205" s="345">
        <v>0</v>
      </c>
      <c r="V205" s="345">
        <v>0</v>
      </c>
      <c r="W205" s="345">
        <v>0</v>
      </c>
      <c r="X205" s="345">
        <v>0</v>
      </c>
      <c r="Y205" s="380">
        <v>0</v>
      </c>
      <c r="Z205" s="296">
        <f t="shared" si="111"/>
        <v>0</v>
      </c>
      <c r="AA205" s="298">
        <f t="shared" si="112"/>
        <v>0</v>
      </c>
      <c r="AB205" s="948">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949">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1226">
        <f t="shared" si="113"/>
        <v>0</v>
      </c>
      <c r="AE205" s="937">
        <f t="shared" si="116"/>
        <v>0</v>
      </c>
      <c r="AF205" s="937">
        <f t="shared" si="117"/>
        <v>0</v>
      </c>
      <c r="AG205" s="937">
        <f t="shared" si="118"/>
        <v>0</v>
      </c>
      <c r="AH205" s="1172">
        <f t="shared" si="119"/>
        <v>0</v>
      </c>
      <c r="AI205" s="937">
        <f t="shared" si="120"/>
        <v>0</v>
      </c>
    </row>
    <row r="206" spans="1:35" x14ac:dyDescent="0.2">
      <c r="A206" s="330">
        <v>2033</v>
      </c>
      <c r="B206" s="344">
        <v>0</v>
      </c>
      <c r="C206" s="345">
        <v>0</v>
      </c>
      <c r="D206" s="345">
        <v>0</v>
      </c>
      <c r="E206" s="345">
        <v>0</v>
      </c>
      <c r="F206" s="345">
        <v>0</v>
      </c>
      <c r="G206" s="345">
        <v>0</v>
      </c>
      <c r="H206" s="345">
        <v>0</v>
      </c>
      <c r="I206" s="345">
        <v>0</v>
      </c>
      <c r="J206" s="345">
        <v>0</v>
      </c>
      <c r="K206" s="345">
        <v>0</v>
      </c>
      <c r="L206" s="380">
        <v>0</v>
      </c>
      <c r="M206" s="296">
        <f t="shared" si="109"/>
        <v>0</v>
      </c>
      <c r="N206" s="298">
        <f t="shared" si="110"/>
        <v>0</v>
      </c>
      <c r="O206" s="344">
        <v>0</v>
      </c>
      <c r="P206" s="345">
        <v>0</v>
      </c>
      <c r="Q206" s="345">
        <v>0</v>
      </c>
      <c r="R206" s="345">
        <v>0</v>
      </c>
      <c r="S206" s="345">
        <v>0</v>
      </c>
      <c r="T206" s="345">
        <v>0</v>
      </c>
      <c r="U206" s="345">
        <v>0</v>
      </c>
      <c r="V206" s="345">
        <v>0</v>
      </c>
      <c r="W206" s="345">
        <v>0</v>
      </c>
      <c r="X206" s="345">
        <v>0</v>
      </c>
      <c r="Y206" s="380">
        <v>0</v>
      </c>
      <c r="Z206" s="296">
        <f t="shared" si="111"/>
        <v>0</v>
      </c>
      <c r="AA206" s="298">
        <f t="shared" si="112"/>
        <v>0</v>
      </c>
      <c r="AB206" s="948">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949">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1226">
        <f>AB206*AH206+AC206*AI206</f>
        <v>0</v>
      </c>
      <c r="AE206" s="937">
        <f t="shared" si="116"/>
        <v>0</v>
      </c>
      <c r="AF206" s="937">
        <f t="shared" si="117"/>
        <v>0</v>
      </c>
      <c r="AG206" s="937">
        <f t="shared" si="118"/>
        <v>0</v>
      </c>
      <c r="AH206" s="1172">
        <f t="shared" si="119"/>
        <v>0</v>
      </c>
      <c r="AI206" s="937">
        <f t="shared" si="120"/>
        <v>0</v>
      </c>
    </row>
    <row r="207" spans="1:35" x14ac:dyDescent="0.2">
      <c r="A207" s="330">
        <v>2034</v>
      </c>
      <c r="B207" s="344">
        <v>0</v>
      </c>
      <c r="C207" s="345">
        <v>0</v>
      </c>
      <c r="D207" s="345">
        <v>0</v>
      </c>
      <c r="E207" s="345">
        <v>0</v>
      </c>
      <c r="F207" s="345">
        <v>0</v>
      </c>
      <c r="G207" s="345">
        <v>0</v>
      </c>
      <c r="H207" s="345">
        <v>0</v>
      </c>
      <c r="I207" s="345">
        <v>0</v>
      </c>
      <c r="J207" s="345">
        <v>0</v>
      </c>
      <c r="K207" s="345">
        <v>0</v>
      </c>
      <c r="L207" s="380">
        <v>0</v>
      </c>
      <c r="M207" s="296">
        <f t="shared" si="109"/>
        <v>0</v>
      </c>
      <c r="N207" s="298">
        <f t="shared" si="110"/>
        <v>0</v>
      </c>
      <c r="O207" s="344">
        <v>0</v>
      </c>
      <c r="P207" s="345">
        <v>0</v>
      </c>
      <c r="Q207" s="345">
        <v>0</v>
      </c>
      <c r="R207" s="345">
        <v>0</v>
      </c>
      <c r="S207" s="345">
        <v>0</v>
      </c>
      <c r="T207" s="345">
        <v>0</v>
      </c>
      <c r="U207" s="345">
        <v>0</v>
      </c>
      <c r="V207" s="345">
        <v>0</v>
      </c>
      <c r="W207" s="345">
        <v>0</v>
      </c>
      <c r="X207" s="345">
        <v>0</v>
      </c>
      <c r="Y207" s="380">
        <v>0</v>
      </c>
      <c r="Z207" s="296">
        <f t="shared" si="111"/>
        <v>0</v>
      </c>
      <c r="AA207" s="298">
        <f t="shared" si="112"/>
        <v>0</v>
      </c>
      <c r="AB207" s="948">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949">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1226">
        <f t="shared" ref="AD207:AD223" si="121">AB207*AH207+AC207*AI207</f>
        <v>0</v>
      </c>
      <c r="AE207" s="937">
        <f t="shared" si="116"/>
        <v>0</v>
      </c>
      <c r="AF207" s="937">
        <f t="shared" si="117"/>
        <v>0</v>
      </c>
      <c r="AG207" s="937">
        <f t="shared" si="118"/>
        <v>0</v>
      </c>
      <c r="AH207" s="1172">
        <f t="shared" si="119"/>
        <v>0</v>
      </c>
      <c r="AI207" s="937">
        <f t="shared" si="120"/>
        <v>0</v>
      </c>
    </row>
    <row r="208" spans="1:35" ht="13.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9"/>
        <v>0</v>
      </c>
      <c r="N208" s="312">
        <f t="shared" si="110"/>
        <v>0</v>
      </c>
      <c r="O208" s="346">
        <v>0</v>
      </c>
      <c r="P208" s="347">
        <v>0</v>
      </c>
      <c r="Q208" s="347">
        <v>0</v>
      </c>
      <c r="R208" s="347">
        <v>0</v>
      </c>
      <c r="S208" s="347">
        <v>0</v>
      </c>
      <c r="T208" s="347">
        <v>0</v>
      </c>
      <c r="U208" s="347">
        <v>0</v>
      </c>
      <c r="V208" s="347">
        <v>0</v>
      </c>
      <c r="W208" s="347">
        <v>0</v>
      </c>
      <c r="X208" s="347">
        <v>0</v>
      </c>
      <c r="Y208" s="381">
        <v>0</v>
      </c>
      <c r="Z208" s="310">
        <f t="shared" si="111"/>
        <v>0</v>
      </c>
      <c r="AA208" s="312">
        <f t="shared" si="112"/>
        <v>0</v>
      </c>
      <c r="AB208" s="948">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949">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1226">
        <f t="shared" si="121"/>
        <v>0</v>
      </c>
      <c r="AE208" s="937">
        <f t="shared" si="116"/>
        <v>0</v>
      </c>
      <c r="AF208" s="937">
        <f t="shared" si="117"/>
        <v>0</v>
      </c>
      <c r="AG208" s="937">
        <f t="shared" si="118"/>
        <v>0</v>
      </c>
      <c r="AH208" s="1172">
        <f t="shared" si="119"/>
        <v>0</v>
      </c>
      <c r="AI208" s="937">
        <f t="shared" si="120"/>
        <v>0</v>
      </c>
    </row>
    <row r="209" spans="1:35" x14ac:dyDescent="0.2">
      <c r="A209" s="329">
        <v>2036</v>
      </c>
      <c r="B209" s="342">
        <v>0</v>
      </c>
      <c r="C209" s="343">
        <v>0</v>
      </c>
      <c r="D209" s="343">
        <v>0</v>
      </c>
      <c r="E209" s="343">
        <v>0</v>
      </c>
      <c r="F209" s="343">
        <v>0</v>
      </c>
      <c r="G209" s="343">
        <v>0</v>
      </c>
      <c r="H209" s="343">
        <v>0</v>
      </c>
      <c r="I209" s="343">
        <v>0</v>
      </c>
      <c r="J209" s="343">
        <v>0</v>
      </c>
      <c r="K209" s="343">
        <v>0</v>
      </c>
      <c r="L209" s="379">
        <v>0</v>
      </c>
      <c r="M209" s="282">
        <f t="shared" si="109"/>
        <v>0</v>
      </c>
      <c r="N209" s="284">
        <f t="shared" si="110"/>
        <v>0</v>
      </c>
      <c r="O209" s="342">
        <v>0</v>
      </c>
      <c r="P209" s="343">
        <v>0</v>
      </c>
      <c r="Q209" s="343">
        <v>0</v>
      </c>
      <c r="R209" s="343">
        <v>0</v>
      </c>
      <c r="S209" s="343">
        <v>0</v>
      </c>
      <c r="T209" s="343">
        <v>0</v>
      </c>
      <c r="U209" s="343">
        <v>0</v>
      </c>
      <c r="V209" s="343">
        <v>0</v>
      </c>
      <c r="W209" s="343">
        <v>0</v>
      </c>
      <c r="X209" s="343">
        <v>0</v>
      </c>
      <c r="Y209" s="379">
        <v>0</v>
      </c>
      <c r="Z209" s="282">
        <f t="shared" si="111"/>
        <v>0</v>
      </c>
      <c r="AA209" s="284">
        <f t="shared" si="112"/>
        <v>0</v>
      </c>
      <c r="AB209" s="948">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949">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1226">
        <f t="shared" si="121"/>
        <v>0</v>
      </c>
      <c r="AE209" s="937">
        <f t="shared" si="116"/>
        <v>0</v>
      </c>
      <c r="AF209" s="937">
        <f t="shared" si="117"/>
        <v>0</v>
      </c>
      <c r="AG209" s="937">
        <f t="shared" si="118"/>
        <v>0</v>
      </c>
      <c r="AH209" s="1172">
        <f t="shared" si="119"/>
        <v>0</v>
      </c>
      <c r="AI209" s="937">
        <f t="shared" si="120"/>
        <v>0</v>
      </c>
    </row>
    <row r="210" spans="1:35" x14ac:dyDescent="0.2">
      <c r="A210" s="330">
        <v>2037</v>
      </c>
      <c r="B210" s="344">
        <v>0</v>
      </c>
      <c r="C210" s="345">
        <v>0</v>
      </c>
      <c r="D210" s="345">
        <v>0</v>
      </c>
      <c r="E210" s="345">
        <v>0</v>
      </c>
      <c r="F210" s="345">
        <v>0</v>
      </c>
      <c r="G210" s="345">
        <v>0</v>
      </c>
      <c r="H210" s="345">
        <v>0</v>
      </c>
      <c r="I210" s="345">
        <v>0</v>
      </c>
      <c r="J210" s="345">
        <v>0</v>
      </c>
      <c r="K210" s="345">
        <v>0</v>
      </c>
      <c r="L210" s="380">
        <v>0</v>
      </c>
      <c r="M210" s="296">
        <f t="shared" si="109"/>
        <v>0</v>
      </c>
      <c r="N210" s="298">
        <f t="shared" si="110"/>
        <v>0</v>
      </c>
      <c r="O210" s="344">
        <v>0</v>
      </c>
      <c r="P210" s="345">
        <v>0</v>
      </c>
      <c r="Q210" s="345">
        <v>0</v>
      </c>
      <c r="R210" s="345">
        <v>0</v>
      </c>
      <c r="S210" s="345">
        <v>0</v>
      </c>
      <c r="T210" s="345">
        <v>0</v>
      </c>
      <c r="U210" s="345">
        <v>0</v>
      </c>
      <c r="V210" s="345">
        <v>0</v>
      </c>
      <c r="W210" s="345">
        <v>0</v>
      </c>
      <c r="X210" s="345">
        <v>0</v>
      </c>
      <c r="Y210" s="380">
        <v>0</v>
      </c>
      <c r="Z210" s="296">
        <f t="shared" si="111"/>
        <v>0</v>
      </c>
      <c r="AA210" s="298">
        <f t="shared" si="112"/>
        <v>0</v>
      </c>
      <c r="AB210" s="948">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949">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1226">
        <f t="shared" si="121"/>
        <v>0</v>
      </c>
      <c r="AE210" s="937">
        <f t="shared" si="116"/>
        <v>0</v>
      </c>
      <c r="AF210" s="937">
        <f t="shared" si="117"/>
        <v>0</v>
      </c>
      <c r="AG210" s="937">
        <f t="shared" si="118"/>
        <v>0</v>
      </c>
      <c r="AH210" s="1172">
        <f t="shared" si="119"/>
        <v>0</v>
      </c>
      <c r="AI210" s="937">
        <f t="shared" si="120"/>
        <v>0</v>
      </c>
    </row>
    <row r="211" spans="1:35" x14ac:dyDescent="0.2">
      <c r="A211" s="330">
        <v>2038</v>
      </c>
      <c r="B211" s="344">
        <v>0</v>
      </c>
      <c r="C211" s="345">
        <v>0</v>
      </c>
      <c r="D211" s="345">
        <v>0</v>
      </c>
      <c r="E211" s="345">
        <v>0</v>
      </c>
      <c r="F211" s="345">
        <v>0</v>
      </c>
      <c r="G211" s="345">
        <v>0</v>
      </c>
      <c r="H211" s="345">
        <v>0</v>
      </c>
      <c r="I211" s="345">
        <v>0</v>
      </c>
      <c r="J211" s="345">
        <v>0</v>
      </c>
      <c r="K211" s="345">
        <v>0</v>
      </c>
      <c r="L211" s="380">
        <v>0</v>
      </c>
      <c r="M211" s="296">
        <f t="shared" si="109"/>
        <v>0</v>
      </c>
      <c r="N211" s="298">
        <f t="shared" si="110"/>
        <v>0</v>
      </c>
      <c r="O211" s="344">
        <v>0</v>
      </c>
      <c r="P211" s="345">
        <v>0</v>
      </c>
      <c r="Q211" s="345">
        <v>0</v>
      </c>
      <c r="R211" s="345">
        <v>0</v>
      </c>
      <c r="S211" s="345">
        <v>0</v>
      </c>
      <c r="T211" s="345">
        <v>0</v>
      </c>
      <c r="U211" s="345">
        <v>0</v>
      </c>
      <c r="V211" s="345">
        <v>0</v>
      </c>
      <c r="W211" s="345">
        <v>0</v>
      </c>
      <c r="X211" s="345">
        <v>0</v>
      </c>
      <c r="Y211" s="380">
        <v>0</v>
      </c>
      <c r="Z211" s="296">
        <f t="shared" si="111"/>
        <v>0</v>
      </c>
      <c r="AA211" s="298">
        <f t="shared" si="112"/>
        <v>0</v>
      </c>
      <c r="AB211" s="948">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949">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1226">
        <f t="shared" si="121"/>
        <v>0</v>
      </c>
      <c r="AE211" s="937">
        <f t="shared" si="116"/>
        <v>0</v>
      </c>
      <c r="AF211" s="937">
        <f t="shared" si="117"/>
        <v>0</v>
      </c>
      <c r="AG211" s="937">
        <f t="shared" si="118"/>
        <v>0</v>
      </c>
      <c r="AH211" s="1172">
        <f t="shared" si="119"/>
        <v>0</v>
      </c>
      <c r="AI211" s="937">
        <f t="shared" si="120"/>
        <v>0</v>
      </c>
    </row>
    <row r="212" spans="1:35" x14ac:dyDescent="0.2">
      <c r="A212" s="330">
        <v>2039</v>
      </c>
      <c r="B212" s="344">
        <v>0</v>
      </c>
      <c r="C212" s="345">
        <v>0</v>
      </c>
      <c r="D212" s="345">
        <v>0</v>
      </c>
      <c r="E212" s="345">
        <v>0</v>
      </c>
      <c r="F212" s="345">
        <v>0</v>
      </c>
      <c r="G212" s="345">
        <v>0</v>
      </c>
      <c r="H212" s="345">
        <v>0</v>
      </c>
      <c r="I212" s="345">
        <v>0</v>
      </c>
      <c r="J212" s="345">
        <v>0</v>
      </c>
      <c r="K212" s="345">
        <v>0</v>
      </c>
      <c r="L212" s="380">
        <v>0</v>
      </c>
      <c r="M212" s="296">
        <f t="shared" si="109"/>
        <v>0</v>
      </c>
      <c r="N212" s="298">
        <f t="shared" si="110"/>
        <v>0</v>
      </c>
      <c r="O212" s="344">
        <v>0</v>
      </c>
      <c r="P212" s="345">
        <v>0</v>
      </c>
      <c r="Q212" s="345">
        <v>0</v>
      </c>
      <c r="R212" s="345">
        <v>0</v>
      </c>
      <c r="S212" s="345">
        <v>0</v>
      </c>
      <c r="T212" s="345">
        <v>0</v>
      </c>
      <c r="U212" s="345">
        <v>0</v>
      </c>
      <c r="V212" s="345">
        <v>0</v>
      </c>
      <c r="W212" s="345">
        <v>0</v>
      </c>
      <c r="X212" s="345">
        <v>0</v>
      </c>
      <c r="Y212" s="380">
        <v>0</v>
      </c>
      <c r="Z212" s="296">
        <f t="shared" si="111"/>
        <v>0</v>
      </c>
      <c r="AA212" s="298">
        <f t="shared" si="112"/>
        <v>0</v>
      </c>
      <c r="AB212" s="948">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949">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1226">
        <f t="shared" si="121"/>
        <v>0</v>
      </c>
      <c r="AE212" s="937">
        <f t="shared" si="116"/>
        <v>0</v>
      </c>
      <c r="AF212" s="937">
        <f t="shared" si="117"/>
        <v>0</v>
      </c>
      <c r="AG212" s="937">
        <f t="shared" si="118"/>
        <v>0</v>
      </c>
      <c r="AH212" s="1172">
        <f t="shared" si="119"/>
        <v>0</v>
      </c>
      <c r="AI212" s="937">
        <f t="shared" si="120"/>
        <v>0</v>
      </c>
    </row>
    <row r="213" spans="1:35" ht="13.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9"/>
        <v>0</v>
      </c>
      <c r="N213" s="312">
        <f t="shared" si="110"/>
        <v>0</v>
      </c>
      <c r="O213" s="346">
        <v>0</v>
      </c>
      <c r="P213" s="347">
        <v>0</v>
      </c>
      <c r="Q213" s="347">
        <v>0</v>
      </c>
      <c r="R213" s="347">
        <v>0</v>
      </c>
      <c r="S213" s="347">
        <v>0</v>
      </c>
      <c r="T213" s="347">
        <v>0</v>
      </c>
      <c r="U213" s="347">
        <v>0</v>
      </c>
      <c r="V213" s="347">
        <v>0</v>
      </c>
      <c r="W213" s="347">
        <v>0</v>
      </c>
      <c r="X213" s="347">
        <v>0</v>
      </c>
      <c r="Y213" s="381">
        <v>0</v>
      </c>
      <c r="Z213" s="310">
        <f t="shared" si="111"/>
        <v>0</v>
      </c>
      <c r="AA213" s="312">
        <f t="shared" si="112"/>
        <v>0</v>
      </c>
      <c r="AB213" s="948">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949">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1226">
        <f t="shared" si="121"/>
        <v>0</v>
      </c>
      <c r="AE213" s="937">
        <f t="shared" si="116"/>
        <v>0</v>
      </c>
      <c r="AF213" s="937">
        <f t="shared" si="117"/>
        <v>0</v>
      </c>
      <c r="AG213" s="937">
        <f t="shared" si="118"/>
        <v>0</v>
      </c>
      <c r="AH213" s="1172">
        <f t="shared" si="119"/>
        <v>0</v>
      </c>
      <c r="AI213" s="937">
        <f t="shared" si="120"/>
        <v>0</v>
      </c>
    </row>
    <row r="214" spans="1:35" x14ac:dyDescent="0.2">
      <c r="A214" s="329">
        <v>2041</v>
      </c>
      <c r="B214" s="342">
        <v>0</v>
      </c>
      <c r="C214" s="343">
        <v>0</v>
      </c>
      <c r="D214" s="343">
        <v>0</v>
      </c>
      <c r="E214" s="343">
        <v>0</v>
      </c>
      <c r="F214" s="343">
        <v>0</v>
      </c>
      <c r="G214" s="343">
        <v>0</v>
      </c>
      <c r="H214" s="343">
        <v>0</v>
      </c>
      <c r="I214" s="343">
        <v>0</v>
      </c>
      <c r="J214" s="343">
        <v>0</v>
      </c>
      <c r="K214" s="343">
        <v>0</v>
      </c>
      <c r="L214" s="379">
        <v>0</v>
      </c>
      <c r="M214" s="282">
        <f t="shared" si="109"/>
        <v>0</v>
      </c>
      <c r="N214" s="284">
        <f t="shared" si="110"/>
        <v>0</v>
      </c>
      <c r="O214" s="342">
        <v>0</v>
      </c>
      <c r="P214" s="343">
        <v>0</v>
      </c>
      <c r="Q214" s="343">
        <v>0</v>
      </c>
      <c r="R214" s="343">
        <v>0</v>
      </c>
      <c r="S214" s="343">
        <v>0</v>
      </c>
      <c r="T214" s="343">
        <v>0</v>
      </c>
      <c r="U214" s="343">
        <v>0</v>
      </c>
      <c r="V214" s="343">
        <v>0</v>
      </c>
      <c r="W214" s="343">
        <v>0</v>
      </c>
      <c r="X214" s="343">
        <v>0</v>
      </c>
      <c r="Y214" s="379">
        <v>0</v>
      </c>
      <c r="Z214" s="282">
        <f t="shared" si="111"/>
        <v>0</v>
      </c>
      <c r="AA214" s="284">
        <f t="shared" si="112"/>
        <v>0</v>
      </c>
      <c r="AB214" s="948">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949">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1226">
        <f t="shared" si="121"/>
        <v>0</v>
      </c>
      <c r="AE214" s="937">
        <f t="shared" si="116"/>
        <v>0</v>
      </c>
      <c r="AF214" s="937">
        <f t="shared" si="117"/>
        <v>0</v>
      </c>
      <c r="AG214" s="937">
        <f t="shared" si="118"/>
        <v>0</v>
      </c>
      <c r="AH214" s="1172">
        <f t="shared" si="119"/>
        <v>0</v>
      </c>
      <c r="AI214" s="937">
        <f t="shared" si="120"/>
        <v>0</v>
      </c>
    </row>
    <row r="215" spans="1:35" x14ac:dyDescent="0.2">
      <c r="A215" s="330">
        <v>2042</v>
      </c>
      <c r="B215" s="344">
        <v>0</v>
      </c>
      <c r="C215" s="345">
        <v>0</v>
      </c>
      <c r="D215" s="345">
        <v>0</v>
      </c>
      <c r="E215" s="345">
        <v>0</v>
      </c>
      <c r="F215" s="345">
        <v>0</v>
      </c>
      <c r="G215" s="345">
        <v>0</v>
      </c>
      <c r="H215" s="345">
        <v>0</v>
      </c>
      <c r="I215" s="345">
        <v>0</v>
      </c>
      <c r="J215" s="345">
        <v>0</v>
      </c>
      <c r="K215" s="345">
        <v>0</v>
      </c>
      <c r="L215" s="380">
        <v>0</v>
      </c>
      <c r="M215" s="296">
        <f t="shared" si="109"/>
        <v>0</v>
      </c>
      <c r="N215" s="298">
        <f t="shared" si="110"/>
        <v>0</v>
      </c>
      <c r="O215" s="344">
        <v>0</v>
      </c>
      <c r="P215" s="345">
        <v>0</v>
      </c>
      <c r="Q215" s="345">
        <v>0</v>
      </c>
      <c r="R215" s="345">
        <v>0</v>
      </c>
      <c r="S215" s="345">
        <v>0</v>
      </c>
      <c r="T215" s="345">
        <v>0</v>
      </c>
      <c r="U215" s="345">
        <v>0</v>
      </c>
      <c r="V215" s="345">
        <v>0</v>
      </c>
      <c r="W215" s="345">
        <v>0</v>
      </c>
      <c r="X215" s="345">
        <v>0</v>
      </c>
      <c r="Y215" s="380">
        <v>0</v>
      </c>
      <c r="Z215" s="296">
        <f t="shared" si="111"/>
        <v>0</v>
      </c>
      <c r="AA215" s="298">
        <f t="shared" si="112"/>
        <v>0</v>
      </c>
      <c r="AB215" s="948">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949">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1226">
        <f t="shared" si="121"/>
        <v>0</v>
      </c>
      <c r="AE215" s="937">
        <f t="shared" si="116"/>
        <v>0</v>
      </c>
      <c r="AF215" s="937">
        <f t="shared" si="117"/>
        <v>0</v>
      </c>
      <c r="AG215" s="937">
        <f t="shared" si="118"/>
        <v>0</v>
      </c>
      <c r="AH215" s="1172">
        <f t="shared" si="119"/>
        <v>0</v>
      </c>
      <c r="AI215" s="937">
        <f t="shared" si="120"/>
        <v>0</v>
      </c>
    </row>
    <row r="216" spans="1:35" x14ac:dyDescent="0.2">
      <c r="A216" s="330">
        <v>2043</v>
      </c>
      <c r="B216" s="344">
        <v>0</v>
      </c>
      <c r="C216" s="345">
        <v>0</v>
      </c>
      <c r="D216" s="345">
        <v>0</v>
      </c>
      <c r="E216" s="345">
        <v>0</v>
      </c>
      <c r="F216" s="345">
        <v>0</v>
      </c>
      <c r="G216" s="345">
        <v>0</v>
      </c>
      <c r="H216" s="345">
        <v>0</v>
      </c>
      <c r="I216" s="345">
        <v>0</v>
      </c>
      <c r="J216" s="345">
        <v>0</v>
      </c>
      <c r="K216" s="345">
        <v>0</v>
      </c>
      <c r="L216" s="380">
        <v>0</v>
      </c>
      <c r="M216" s="296">
        <f t="shared" si="109"/>
        <v>0</v>
      </c>
      <c r="N216" s="298">
        <f t="shared" si="110"/>
        <v>0</v>
      </c>
      <c r="O216" s="344">
        <v>0</v>
      </c>
      <c r="P216" s="345">
        <v>0</v>
      </c>
      <c r="Q216" s="345">
        <v>0</v>
      </c>
      <c r="R216" s="345">
        <v>0</v>
      </c>
      <c r="S216" s="345">
        <v>0</v>
      </c>
      <c r="T216" s="345">
        <v>0</v>
      </c>
      <c r="U216" s="345">
        <v>0</v>
      </c>
      <c r="V216" s="345">
        <v>0</v>
      </c>
      <c r="W216" s="345">
        <v>0</v>
      </c>
      <c r="X216" s="345">
        <v>0</v>
      </c>
      <c r="Y216" s="380">
        <v>0</v>
      </c>
      <c r="Z216" s="296">
        <f t="shared" si="111"/>
        <v>0</v>
      </c>
      <c r="AA216" s="298">
        <f t="shared" si="112"/>
        <v>0</v>
      </c>
      <c r="AB216" s="948">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949">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1226">
        <f t="shared" si="121"/>
        <v>0</v>
      </c>
      <c r="AE216" s="937">
        <f t="shared" si="116"/>
        <v>0</v>
      </c>
      <c r="AF216" s="937">
        <f t="shared" si="117"/>
        <v>0</v>
      </c>
      <c r="AG216" s="937">
        <f t="shared" si="118"/>
        <v>0</v>
      </c>
      <c r="AH216" s="1172">
        <f t="shared" si="119"/>
        <v>0</v>
      </c>
      <c r="AI216" s="937">
        <f t="shared" si="120"/>
        <v>0</v>
      </c>
    </row>
    <row r="217" spans="1:35" x14ac:dyDescent="0.2">
      <c r="A217" s="330">
        <v>2044</v>
      </c>
      <c r="B217" s="344">
        <v>0</v>
      </c>
      <c r="C217" s="345">
        <v>0</v>
      </c>
      <c r="D217" s="345">
        <v>0</v>
      </c>
      <c r="E217" s="345">
        <v>6.0370938528493652E-3</v>
      </c>
      <c r="F217" s="345">
        <v>0</v>
      </c>
      <c r="G217" s="345">
        <v>0</v>
      </c>
      <c r="H217" s="345">
        <v>0</v>
      </c>
      <c r="I217" s="345">
        <v>0</v>
      </c>
      <c r="J217" s="345">
        <v>0</v>
      </c>
      <c r="K217" s="345">
        <v>0</v>
      </c>
      <c r="L217" s="380">
        <v>0</v>
      </c>
      <c r="M217" s="296">
        <f t="shared" si="109"/>
        <v>5.1073614401484315E-4</v>
      </c>
      <c r="N217" s="298">
        <f t="shared" si="110"/>
        <v>5.5973137805371881E-4</v>
      </c>
      <c r="O217" s="344">
        <v>0</v>
      </c>
      <c r="P217" s="345">
        <v>0</v>
      </c>
      <c r="Q217" s="345">
        <v>4.6422055103419071E-4</v>
      </c>
      <c r="R217" s="345">
        <v>1.4381365721152796E-2</v>
      </c>
      <c r="S217" s="345">
        <v>0</v>
      </c>
      <c r="T217" s="345">
        <v>0</v>
      </c>
      <c r="U217" s="345">
        <v>0</v>
      </c>
      <c r="V217" s="345">
        <v>0</v>
      </c>
      <c r="W217" s="345">
        <v>0</v>
      </c>
      <c r="X217" s="345">
        <v>0</v>
      </c>
      <c r="Y217" s="380">
        <v>0</v>
      </c>
      <c r="Z217" s="296">
        <f t="shared" si="111"/>
        <v>9.4401176529765427E-4</v>
      </c>
      <c r="AA217" s="298">
        <f t="shared" si="112"/>
        <v>1.0228019133674453E-3</v>
      </c>
      <c r="AB217" s="948">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949">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1226">
        <f t="shared" si="121"/>
        <v>0</v>
      </c>
      <c r="AE217" s="937">
        <f t="shared" si="116"/>
        <v>5.1073614401484315E-4</v>
      </c>
      <c r="AF217" s="937">
        <f t="shared" si="117"/>
        <v>9.4401176529765427E-4</v>
      </c>
      <c r="AG217" s="937">
        <f t="shared" si="118"/>
        <v>1.4547479093124974E-3</v>
      </c>
      <c r="AH217" s="1172">
        <f t="shared" si="119"/>
        <v>0.3510822326984564</v>
      </c>
      <c r="AI217" s="937">
        <f t="shared" si="120"/>
        <v>0.6489177673015436</v>
      </c>
    </row>
    <row r="218" spans="1:35" ht="13.5" thickBot="1" x14ac:dyDescent="0.25">
      <c r="A218" s="328">
        <v>2045</v>
      </c>
      <c r="B218" s="346">
        <v>0</v>
      </c>
      <c r="C218" s="347">
        <v>0</v>
      </c>
      <c r="D218" s="347">
        <v>1.2580773255415878E-2</v>
      </c>
      <c r="E218" s="347">
        <v>6.8243780763494119E-2</v>
      </c>
      <c r="F218" s="347">
        <v>0</v>
      </c>
      <c r="G218" s="347">
        <v>0</v>
      </c>
      <c r="H218" s="347">
        <v>0</v>
      </c>
      <c r="I218" s="347">
        <v>0</v>
      </c>
      <c r="J218" s="347">
        <v>0</v>
      </c>
      <c r="K218" s="347">
        <v>0</v>
      </c>
      <c r="L218" s="381">
        <v>0</v>
      </c>
      <c r="M218" s="310">
        <f t="shared" si="109"/>
        <v>6.5276831503158919E-3</v>
      </c>
      <c r="N218" s="312">
        <f t="shared" si="110"/>
        <v>7.4828824993514297E-3</v>
      </c>
      <c r="O218" s="346">
        <v>0</v>
      </c>
      <c r="P218" s="347">
        <v>9.5799429832981635E-5</v>
      </c>
      <c r="Q218" s="347">
        <v>2.7510502186846007E-2</v>
      </c>
      <c r="R218" s="347">
        <v>8.8715587760191103E-2</v>
      </c>
      <c r="S218" s="347">
        <v>0</v>
      </c>
      <c r="T218" s="347">
        <v>0</v>
      </c>
      <c r="U218" s="347">
        <v>0</v>
      </c>
      <c r="V218" s="347">
        <v>0</v>
      </c>
      <c r="W218" s="347">
        <v>0</v>
      </c>
      <c r="X218" s="347">
        <v>0</v>
      </c>
      <c r="Y218" s="381">
        <v>0</v>
      </c>
      <c r="Z218" s="310">
        <f t="shared" si="111"/>
        <v>6.8583342192597829E-3</v>
      </c>
      <c r="AA218" s="312">
        <f t="shared" si="112"/>
        <v>7.8517629987528634E-3</v>
      </c>
      <c r="AB218" s="948">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949">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1226">
        <f t="shared" si="121"/>
        <v>0</v>
      </c>
      <c r="AE218" s="937">
        <f t="shared" si="116"/>
        <v>6.5276831503158919E-3</v>
      </c>
      <c r="AF218" s="937">
        <f t="shared" si="117"/>
        <v>6.8583342192597829E-3</v>
      </c>
      <c r="AG218" s="937">
        <f t="shared" si="118"/>
        <v>1.3386017369575676E-2</v>
      </c>
      <c r="AH218" s="1172">
        <f t="shared" si="119"/>
        <v>0.48764938592955176</v>
      </c>
      <c r="AI218" s="937">
        <f t="shared" si="120"/>
        <v>0.51235061407044813</v>
      </c>
    </row>
    <row r="219" spans="1:35" x14ac:dyDescent="0.2">
      <c r="A219" s="329">
        <v>2046</v>
      </c>
      <c r="B219" s="342">
        <v>0</v>
      </c>
      <c r="C219" s="343">
        <v>1.5297768530797282E-3</v>
      </c>
      <c r="D219" s="343">
        <v>6.5571575610077648E-2</v>
      </c>
      <c r="E219" s="343">
        <v>0.13827580533601205</v>
      </c>
      <c r="F219" s="343">
        <v>0</v>
      </c>
      <c r="G219" s="343">
        <v>0</v>
      </c>
      <c r="H219" s="343">
        <v>0</v>
      </c>
      <c r="I219" s="343">
        <v>0</v>
      </c>
      <c r="J219" s="343">
        <v>0</v>
      </c>
      <c r="K219" s="343">
        <v>0</v>
      </c>
      <c r="L219" s="379">
        <v>0</v>
      </c>
      <c r="M219" s="282">
        <f t="shared" si="109"/>
        <v>1.568293453343059E-2</v>
      </c>
      <c r="N219" s="284">
        <f t="shared" si="110"/>
        <v>1.8980662775993012E-2</v>
      </c>
      <c r="O219" s="342">
        <v>0</v>
      </c>
      <c r="P219" s="343">
        <v>7.7585764662809449E-3</v>
      </c>
      <c r="Q219" s="343">
        <v>9.2336373628746138E-2</v>
      </c>
      <c r="R219" s="343">
        <v>0.14973386616805781</v>
      </c>
      <c r="S219" s="343">
        <v>0</v>
      </c>
      <c r="T219" s="343">
        <v>0</v>
      </c>
      <c r="U219" s="343">
        <v>0</v>
      </c>
      <c r="V219" s="343">
        <v>0</v>
      </c>
      <c r="W219" s="343">
        <v>0</v>
      </c>
      <c r="X219" s="343">
        <v>0</v>
      </c>
      <c r="Y219" s="379">
        <v>0</v>
      </c>
      <c r="Z219" s="282">
        <f t="shared" si="111"/>
        <v>1.3707484979345329E-2</v>
      </c>
      <c r="AA219" s="284">
        <f t="shared" si="112"/>
        <v>1.6621997167316722E-2</v>
      </c>
      <c r="AB219" s="948">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949">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1226">
        <f t="shared" si="121"/>
        <v>0</v>
      </c>
      <c r="AE219" s="937">
        <f t="shared" si="116"/>
        <v>1.568293453343059E-2</v>
      </c>
      <c r="AF219" s="937">
        <f t="shared" si="117"/>
        <v>1.3707484979345329E-2</v>
      </c>
      <c r="AG219" s="937">
        <f t="shared" si="118"/>
        <v>2.939041951277592E-2</v>
      </c>
      <c r="AH219" s="1172">
        <f t="shared" si="119"/>
        <v>0.53360703227163087</v>
      </c>
      <c r="AI219" s="937">
        <f t="shared" si="120"/>
        <v>0.46639296772836913</v>
      </c>
    </row>
    <row r="220" spans="1:35" x14ac:dyDescent="0.2">
      <c r="A220" s="330">
        <v>2047</v>
      </c>
      <c r="B220" s="344">
        <v>0</v>
      </c>
      <c r="C220" s="345">
        <v>1.7916790000962569E-2</v>
      </c>
      <c r="D220" s="345">
        <v>0.12757444646292096</v>
      </c>
      <c r="E220" s="345">
        <v>0.18407766643573703</v>
      </c>
      <c r="F220" s="345">
        <v>0</v>
      </c>
      <c r="G220" s="345">
        <v>0</v>
      </c>
      <c r="H220" s="345">
        <v>0</v>
      </c>
      <c r="I220" s="345">
        <v>0</v>
      </c>
      <c r="J220" s="345">
        <v>0</v>
      </c>
      <c r="K220" s="345">
        <v>0</v>
      </c>
      <c r="L220" s="380">
        <v>0</v>
      </c>
      <c r="M220" s="296">
        <f t="shared" si="109"/>
        <v>2.3848186438310114E-2</v>
      </c>
      <c r="N220" s="298">
        <f t="shared" si="110"/>
        <v>3.0391723109738839E-2</v>
      </c>
      <c r="O220" s="344">
        <v>0</v>
      </c>
      <c r="P220" s="345">
        <v>3.8040176758980471E-2</v>
      </c>
      <c r="Q220" s="345">
        <v>0.14647026847506511</v>
      </c>
      <c r="R220" s="345">
        <v>0.19559339101909062</v>
      </c>
      <c r="S220" s="345">
        <v>0</v>
      </c>
      <c r="T220" s="345">
        <v>0</v>
      </c>
      <c r="U220" s="345">
        <v>0</v>
      </c>
      <c r="V220" s="345">
        <v>0</v>
      </c>
      <c r="W220" s="345">
        <v>0</v>
      </c>
      <c r="X220" s="345">
        <v>0</v>
      </c>
      <c r="Y220" s="380">
        <v>0</v>
      </c>
      <c r="Z220" s="296">
        <f t="shared" si="111"/>
        <v>1.9757737498655663E-2</v>
      </c>
      <c r="AA220" s="298">
        <f t="shared" si="112"/>
        <v>2.5194569674342866E-2</v>
      </c>
      <c r="AB220" s="948">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949">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1226">
        <f t="shared" si="121"/>
        <v>0</v>
      </c>
      <c r="AE220" s="937">
        <f t="shared" si="116"/>
        <v>2.3848186438310114E-2</v>
      </c>
      <c r="AF220" s="937">
        <f t="shared" si="117"/>
        <v>1.9757737498655663E-2</v>
      </c>
      <c r="AG220" s="937">
        <f t="shared" si="118"/>
        <v>4.3605923936965774E-2</v>
      </c>
      <c r="AH220" s="1172">
        <f t="shared" si="119"/>
        <v>0.5469024454746948</v>
      </c>
      <c r="AI220" s="937">
        <f t="shared" si="120"/>
        <v>0.45309755452530526</v>
      </c>
    </row>
    <row r="221" spans="1:35" x14ac:dyDescent="0.2">
      <c r="A221" s="330">
        <v>2048</v>
      </c>
      <c r="B221" s="344">
        <v>0</v>
      </c>
      <c r="C221" s="345">
        <v>5.0776955252224983E-2</v>
      </c>
      <c r="D221" s="345">
        <v>0.16643900559681404</v>
      </c>
      <c r="E221" s="345">
        <v>0.20548419486364547</v>
      </c>
      <c r="F221" s="345">
        <v>0</v>
      </c>
      <c r="G221" s="345">
        <v>0</v>
      </c>
      <c r="H221" s="345">
        <v>0</v>
      </c>
      <c r="I221" s="345">
        <v>0</v>
      </c>
      <c r="J221" s="345">
        <v>0</v>
      </c>
      <c r="K221" s="345">
        <v>0</v>
      </c>
      <c r="L221" s="380">
        <v>0</v>
      </c>
      <c r="M221" s="296">
        <f t="shared" si="109"/>
        <v>2.9138392642142148E-2</v>
      </c>
      <c r="N221" s="298">
        <f t="shared" si="110"/>
        <v>3.88923725342986E-2</v>
      </c>
      <c r="O221" s="344">
        <v>0</v>
      </c>
      <c r="P221" s="345">
        <v>7.5676273432871768E-2</v>
      </c>
      <c r="Q221" s="345">
        <v>0.17427609366385829</v>
      </c>
      <c r="R221" s="345">
        <v>0.20761529860188765</v>
      </c>
      <c r="S221" s="345">
        <v>0</v>
      </c>
      <c r="T221" s="345">
        <v>0</v>
      </c>
      <c r="U221" s="345">
        <v>0</v>
      </c>
      <c r="V221" s="345">
        <v>0</v>
      </c>
      <c r="W221" s="345">
        <v>0</v>
      </c>
      <c r="X221" s="345">
        <v>0</v>
      </c>
      <c r="Y221" s="380">
        <v>0</v>
      </c>
      <c r="Z221" s="296">
        <f t="shared" si="111"/>
        <v>2.2732607960360952E-2</v>
      </c>
      <c r="AA221" s="298">
        <f t="shared" si="112"/>
        <v>3.0281012872656964E-2</v>
      </c>
      <c r="AB221" s="948">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949">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1226">
        <f t="shared" si="121"/>
        <v>0</v>
      </c>
      <c r="AE221" s="937">
        <f t="shared" si="116"/>
        <v>2.9138392642142148E-2</v>
      </c>
      <c r="AF221" s="937">
        <f t="shared" si="117"/>
        <v>2.2732607960360952E-2</v>
      </c>
      <c r="AG221" s="937">
        <f t="shared" si="118"/>
        <v>5.1871000602503103E-2</v>
      </c>
      <c r="AH221" s="1172">
        <f t="shared" si="119"/>
        <v>0.56174726347453641</v>
      </c>
      <c r="AI221" s="937">
        <f t="shared" si="120"/>
        <v>0.43825273652546354</v>
      </c>
    </row>
    <row r="222" spans="1:35" x14ac:dyDescent="0.2">
      <c r="A222" s="330">
        <v>2049</v>
      </c>
      <c r="B222" s="344">
        <v>0</v>
      </c>
      <c r="C222" s="345">
        <v>7.9222607229703493E-2</v>
      </c>
      <c r="D222" s="345">
        <v>0.1839267044633518</v>
      </c>
      <c r="E222" s="345">
        <v>0.2184486778527826</v>
      </c>
      <c r="F222" s="345">
        <v>0</v>
      </c>
      <c r="G222" s="345">
        <v>0</v>
      </c>
      <c r="H222" s="345">
        <v>0</v>
      </c>
      <c r="I222" s="345">
        <v>0</v>
      </c>
      <c r="J222" s="345">
        <v>0</v>
      </c>
      <c r="K222" s="345">
        <v>0</v>
      </c>
      <c r="L222" s="380">
        <v>0</v>
      </c>
      <c r="M222" s="296">
        <f t="shared" si="109"/>
        <v>3.2278380529090746E-2</v>
      </c>
      <c r="N222" s="298">
        <f t="shared" si="110"/>
        <v>4.4250929851026577E-2</v>
      </c>
      <c r="O222" s="344">
        <v>0</v>
      </c>
      <c r="P222" s="345">
        <v>0.10666883062480834</v>
      </c>
      <c r="Q222" s="345">
        <v>0.19445679104467617</v>
      </c>
      <c r="R222" s="345">
        <v>0.21998491694997854</v>
      </c>
      <c r="S222" s="345">
        <v>0</v>
      </c>
      <c r="T222" s="345">
        <v>0</v>
      </c>
      <c r="U222" s="345">
        <v>0</v>
      </c>
      <c r="V222" s="345">
        <v>0</v>
      </c>
      <c r="W222" s="345">
        <v>0</v>
      </c>
      <c r="X222" s="345">
        <v>0</v>
      </c>
      <c r="Y222" s="380">
        <v>0</v>
      </c>
      <c r="Z222" s="296">
        <f t="shared" si="111"/>
        <v>2.5227346995653967E-2</v>
      </c>
      <c r="AA222" s="298">
        <f t="shared" si="112"/>
        <v>3.4470978223788556E-2</v>
      </c>
      <c r="AB222" s="948">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949">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1226">
        <f t="shared" si="121"/>
        <v>0</v>
      </c>
      <c r="AE222" s="937">
        <f t="shared" si="116"/>
        <v>3.2278380529090746E-2</v>
      </c>
      <c r="AF222" s="937">
        <f t="shared" si="117"/>
        <v>2.5227346995653967E-2</v>
      </c>
      <c r="AG222" s="937">
        <f t="shared" si="118"/>
        <v>5.7505727524744712E-2</v>
      </c>
      <c r="AH222" s="1172">
        <f t="shared" si="119"/>
        <v>0.56130722831393376</v>
      </c>
      <c r="AI222" s="937">
        <f t="shared" si="120"/>
        <v>0.43869277168606624</v>
      </c>
    </row>
    <row r="223" spans="1:35" ht="13.5" thickBot="1" x14ac:dyDescent="0.25">
      <c r="A223" s="328">
        <v>2050</v>
      </c>
      <c r="B223" s="346">
        <v>1.344625151344104E-4</v>
      </c>
      <c r="C223" s="347">
        <v>0.11899412215444921</v>
      </c>
      <c r="D223" s="347">
        <v>0.20224395040216606</v>
      </c>
      <c r="E223" s="347">
        <v>0.23402748833163103</v>
      </c>
      <c r="F223" s="347">
        <v>0</v>
      </c>
      <c r="G223" s="347">
        <v>0</v>
      </c>
      <c r="H223" s="347">
        <v>0</v>
      </c>
      <c r="I223" s="347">
        <v>0</v>
      </c>
      <c r="J223" s="347">
        <v>0</v>
      </c>
      <c r="K223" s="347">
        <v>0</v>
      </c>
      <c r="L223" s="381">
        <v>0</v>
      </c>
      <c r="M223" s="310">
        <f t="shared" si="109"/>
        <v>3.6086182994223504E-2</v>
      </c>
      <c r="N223" s="312">
        <f t="shared" si="110"/>
        <v>5.0948768624692706E-2</v>
      </c>
      <c r="O223" s="346">
        <v>1.8567055402474051E-3</v>
      </c>
      <c r="P223" s="347">
        <v>0.14680708093091974</v>
      </c>
      <c r="Q223" s="347">
        <v>0.21112906932154371</v>
      </c>
      <c r="R223" s="347">
        <v>0.23287719498467582</v>
      </c>
      <c r="S223" s="347">
        <v>0</v>
      </c>
      <c r="T223" s="347">
        <v>0</v>
      </c>
      <c r="U223" s="347">
        <v>0</v>
      </c>
      <c r="V223" s="347">
        <v>0</v>
      </c>
      <c r="W223" s="347">
        <v>0</v>
      </c>
      <c r="X223" s="347">
        <v>0</v>
      </c>
      <c r="Y223" s="381">
        <v>0</v>
      </c>
      <c r="Z223" s="310">
        <f t="shared" si="111"/>
        <v>2.7875916098282973E-2</v>
      </c>
      <c r="AA223" s="312">
        <f t="shared" si="112"/>
        <v>3.9177006850775728E-2</v>
      </c>
      <c r="AB223" s="950">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951">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1227">
        <f t="shared" si="121"/>
        <v>0</v>
      </c>
      <c r="AE223" s="937">
        <f t="shared" ref="AE223" si="122">SUMPRODUCT($B$74:$L$74,B223:L223)</f>
        <v>3.6086182994223504E-2</v>
      </c>
      <c r="AF223" s="937">
        <f t="shared" ref="AF223" si="123">SUMPRODUCT($O$74:$Y$74,O223:Y223)</f>
        <v>2.7875916098282973E-2</v>
      </c>
      <c r="AG223" s="937">
        <f t="shared" ref="AG223" si="124">SUM(AE223:AF223)</f>
        <v>6.3962099092506469E-2</v>
      </c>
      <c r="AH223" s="1172">
        <f t="shared" ref="AH223" si="125">IF(AG223&gt;0,AE223/AG223,0)</f>
        <v>0.56418071805356385</v>
      </c>
      <c r="AI223" s="937">
        <f t="shared" ref="AI223" si="126">IF(AG223&gt;0,AF223/AG223,0)</f>
        <v>0.43581928194643627</v>
      </c>
    </row>
    <row r="224" spans="1:35" x14ac:dyDescent="0.2">
      <c r="B224" s="227" t="str">
        <f>B$120</f>
        <v>Output generated: 8/27/2020 18:37</v>
      </c>
      <c r="O224" s="227" t="str">
        <f>O$120</f>
        <v>Output generated: 8/27/2020 18:37</v>
      </c>
      <c r="AE224" s="937"/>
      <c r="AF224" s="937"/>
      <c r="AG224" s="937"/>
      <c r="AH224" s="937"/>
      <c r="AI224" s="937"/>
    </row>
    <row r="225" spans="1:39" x14ac:dyDescent="0.2">
      <c r="AE225" s="937"/>
      <c r="AF225" s="937"/>
      <c r="AG225" s="937"/>
      <c r="AH225" s="937"/>
      <c r="AI225" s="937"/>
    </row>
    <row r="226" spans="1:39" ht="13.5" thickBot="1" x14ac:dyDescent="0.25">
      <c r="AE226" s="937"/>
      <c r="AF226" s="937"/>
      <c r="AG226" s="937"/>
      <c r="AH226" s="937"/>
      <c r="AI226" s="937"/>
    </row>
    <row r="227" spans="1:39" ht="15" x14ac:dyDescent="0.25">
      <c r="A227" s="333"/>
      <c r="B227" s="1538" t="s">
        <v>257</v>
      </c>
      <c r="C227" s="1539"/>
      <c r="D227" s="1539"/>
      <c r="E227" s="1539"/>
      <c r="F227" s="1539"/>
      <c r="G227" s="1539"/>
      <c r="H227" s="1539"/>
      <c r="I227" s="1539"/>
      <c r="J227" s="1539"/>
      <c r="K227" s="1539"/>
      <c r="L227" s="1539"/>
      <c r="M227" s="1539"/>
      <c r="N227" s="1540"/>
      <c r="O227" s="1538" t="s">
        <v>258</v>
      </c>
      <c r="P227" s="1539"/>
      <c r="Q227" s="1539"/>
      <c r="R227" s="1539"/>
      <c r="S227" s="1539"/>
      <c r="T227" s="1539"/>
      <c r="U227" s="1539"/>
      <c r="V227" s="1539"/>
      <c r="W227" s="1539"/>
      <c r="X227" s="1539"/>
      <c r="Y227" s="1539"/>
      <c r="Z227" s="1539"/>
      <c r="AA227" s="1540"/>
      <c r="AE227" s="937"/>
      <c r="AF227" s="937"/>
      <c r="AG227" s="937"/>
      <c r="AH227" s="937"/>
      <c r="AI227" s="937"/>
    </row>
    <row r="228" spans="1:39" x14ac:dyDescent="0.2">
      <c r="A228" s="324"/>
      <c r="B228" s="1535" t="s">
        <v>121</v>
      </c>
      <c r="C228" s="1536"/>
      <c r="D228" s="1536"/>
      <c r="E228" s="1536"/>
      <c r="F228" s="1536"/>
      <c r="G228" s="1536"/>
      <c r="H228" s="1536"/>
      <c r="I228" s="1536"/>
      <c r="J228" s="1536"/>
      <c r="K228" s="1536"/>
      <c r="L228" s="1536"/>
      <c r="M228" s="382"/>
      <c r="N228" s="325"/>
      <c r="O228" s="1535" t="s">
        <v>121</v>
      </c>
      <c r="P228" s="1536"/>
      <c r="Q228" s="1536"/>
      <c r="R228" s="1536"/>
      <c r="S228" s="1536"/>
      <c r="T228" s="1536"/>
      <c r="U228" s="1536"/>
      <c r="V228" s="1536"/>
      <c r="W228" s="1536"/>
      <c r="X228" s="1536"/>
      <c r="Y228" s="1536"/>
      <c r="Z228" s="382"/>
      <c r="AA228" s="325"/>
      <c r="AC228" s="954" t="s">
        <v>267</v>
      </c>
      <c r="AD228" s="234" t="b">
        <f>INDEX(TECH_OPT_FUEL2_Cls2,MATCH(RIGHT(O227),TECH_OPT_ROWS_Cls2,0))&lt;&gt;"N/A"</f>
        <v>0</v>
      </c>
      <c r="AE228" s="937"/>
      <c r="AF228" s="937"/>
      <c r="AG228" s="937"/>
      <c r="AH228" s="937"/>
      <c r="AI228" s="937"/>
    </row>
    <row r="229" spans="1:39" ht="13.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MATCH(RIGHT(O227),TECH_OPT_ROWS_Cls2,0)</f>
        <v>5</v>
      </c>
      <c r="AE229" s="937"/>
      <c r="AF229" s="937"/>
      <c r="AG229" s="937"/>
      <c r="AH229" s="937"/>
      <c r="AI229" s="937"/>
    </row>
    <row r="230" spans="1:39" ht="14.25"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09">
        <v>5.2963907111801883E-3</v>
      </c>
      <c r="Z230" s="1214"/>
      <c r="AA230" s="1215"/>
    </row>
    <row r="231" spans="1:39" x14ac:dyDescent="0.2">
      <c r="A231" s="331" t="s">
        <v>125</v>
      </c>
      <c r="B231" s="923">
        <f t="array" ref="B231:L231">TRANSPOSE(Cls2CentVMTShr)</f>
        <v>6.3375455551975849E-3</v>
      </c>
      <c r="C231" s="924">
        <v>3.496913005496359E-2</v>
      </c>
      <c r="D231" s="924">
        <v>5.9955127131675522E-2</v>
      </c>
      <c r="E231" s="924">
        <v>8.4599669387910512E-2</v>
      </c>
      <c r="F231" s="924">
        <v>0.12702701008436962</v>
      </c>
      <c r="G231" s="924">
        <v>6.7204731283582092E-2</v>
      </c>
      <c r="H231" s="924">
        <v>8.8708982453757024E-2</v>
      </c>
      <c r="I231" s="924">
        <v>6.4694225377098208E-2</v>
      </c>
      <c r="J231" s="924">
        <v>3.2526447027526634E-2</v>
      </c>
      <c r="K231" s="924">
        <v>1.589064319454132E-2</v>
      </c>
      <c r="L231" s="1210">
        <v>3.2608183213810787E-2</v>
      </c>
      <c r="M231" s="1211"/>
      <c r="N231" s="1212"/>
      <c r="O231" s="923">
        <f t="array" ref="O231:Y231">TRANSPOSE(Cls2NCentVMTShr)</f>
        <v>8.1228463417563086E-3</v>
      </c>
      <c r="P231" s="924">
        <v>2.7563836768431361E-2</v>
      </c>
      <c r="Q231" s="924">
        <v>4.1883113088337191E-2</v>
      </c>
      <c r="R231" s="924">
        <v>6.4289357588678764E-2</v>
      </c>
      <c r="S231" s="924">
        <v>9.1183275251204537E-2</v>
      </c>
      <c r="T231" s="924">
        <v>5.1984283219922628E-2</v>
      </c>
      <c r="U231" s="924">
        <v>5.0286059545109812E-2</v>
      </c>
      <c r="V231" s="924">
        <v>1.5542287574292338E-2</v>
      </c>
      <c r="W231" s="924">
        <v>1.4506257462625264E-2</v>
      </c>
      <c r="X231" s="924">
        <v>4.9330966304706684E-3</v>
      </c>
      <c r="Y231" s="925">
        <v>1.5183891764738403E-2</v>
      </c>
      <c r="Z231" s="1211"/>
      <c r="AA231" s="1212"/>
      <c r="AB231" s="1551" t="str">
        <f>"% of miles on f2 for Tech "&amp; RIGHT(O226)&amp;" adopters"</f>
        <v>% of miles on f2 for Tech  adopters</v>
      </c>
      <c r="AC231" s="1552"/>
      <c r="AD231" s="1553"/>
      <c r="AE231" s="937" t="s">
        <v>301</v>
      </c>
      <c r="AF231" s="937"/>
      <c r="AG231" s="937"/>
      <c r="AH231" s="1172" t="s">
        <v>302</v>
      </c>
      <c r="AI231" s="937"/>
    </row>
    <row r="232" spans="1:39" ht="13.5" thickBot="1" x14ac:dyDescent="0.25">
      <c r="A232" s="942" t="s">
        <v>266</v>
      </c>
      <c r="B232" s="933">
        <f t="array" ref="B232:L232">TRANSPOSE(Cls2CentVMT/OPDAYS_Cls2)</f>
        <v>49.332453271995263</v>
      </c>
      <c r="C232" s="934">
        <v>120.11441047790339</v>
      </c>
      <c r="D232" s="934">
        <v>200.99157969807086</v>
      </c>
      <c r="E232" s="934">
        <v>280.98421424125928</v>
      </c>
      <c r="F232" s="934">
        <v>358.20644524895255</v>
      </c>
      <c r="G232" s="934">
        <v>432.82805471770689</v>
      </c>
      <c r="H232" s="934">
        <v>517.10615118099815</v>
      </c>
      <c r="I232" s="934">
        <v>597.8087063838957</v>
      </c>
      <c r="J232" s="934">
        <v>676.93419409560215</v>
      </c>
      <c r="K232" s="934">
        <v>746.82245226325631</v>
      </c>
      <c r="L232" s="935">
        <v>895.92826380844349</v>
      </c>
      <c r="M232" s="931"/>
      <c r="N232" s="932"/>
      <c r="O232" s="933">
        <f t="array" ref="O232:Y232">TRANSPOSE(Cls2NCentVMT/OPDAYS_Cls2)</f>
        <v>54.31462614952413</v>
      </c>
      <c r="P232" s="934">
        <v>126.62311644744663</v>
      </c>
      <c r="Q232" s="934">
        <v>206.96826351576016</v>
      </c>
      <c r="R232" s="934">
        <v>286.46600131499179</v>
      </c>
      <c r="S232" s="934">
        <v>358.9638908170715</v>
      </c>
      <c r="T232" s="934">
        <v>450.55545819643328</v>
      </c>
      <c r="U232" s="934">
        <v>511.93098482414172</v>
      </c>
      <c r="V232" s="934">
        <v>579.22933632093111</v>
      </c>
      <c r="W232" s="934">
        <v>695.25665569614875</v>
      </c>
      <c r="X232" s="934">
        <v>759.80682330760794</v>
      </c>
      <c r="Y232" s="1213">
        <v>882.81167173661356</v>
      </c>
      <c r="Z232" s="943"/>
      <c r="AA232" s="932"/>
      <c r="AB232" s="945" t="s">
        <v>186</v>
      </c>
      <c r="AC232" s="946" t="s">
        <v>15</v>
      </c>
      <c r="AD232" s="947" t="s">
        <v>18</v>
      </c>
      <c r="AE232" s="937" t="s">
        <v>186</v>
      </c>
      <c r="AF232" s="937" t="s">
        <v>15</v>
      </c>
      <c r="AG232" s="937" t="s">
        <v>18</v>
      </c>
      <c r="AH232" s="1172" t="s">
        <v>186</v>
      </c>
      <c r="AI232" s="937" t="s">
        <v>15</v>
      </c>
      <c r="AJ232" s="323"/>
      <c r="AK232" s="323"/>
      <c r="AL232" s="323"/>
      <c r="AM232" s="323"/>
    </row>
    <row r="233" spans="1:39" ht="13.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8">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49">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6">
        <f>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8">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49">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6">
        <f t="shared" ref="AD234:AD258" si="134">AB234*AH234+AC234*AI234</f>
        <v>0</v>
      </c>
      <c r="AE234" s="937">
        <f t="shared" si="127"/>
        <v>0</v>
      </c>
      <c r="AF234" s="937">
        <f t="shared" si="128"/>
        <v>0</v>
      </c>
      <c r="AG234" s="937">
        <f t="shared" si="129"/>
        <v>0</v>
      </c>
      <c r="AH234" s="1172">
        <f t="shared" ref="AH234:AH275" si="135">IF(AG234&gt;0,AE234/AG234,0)</f>
        <v>0</v>
      </c>
      <c r="AI234" s="937">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8">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49">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6">
        <f t="shared" si="134"/>
        <v>0</v>
      </c>
      <c r="AE235" s="937">
        <f t="shared" si="127"/>
        <v>0</v>
      </c>
      <c r="AF235" s="937">
        <f t="shared" si="128"/>
        <v>0</v>
      </c>
      <c r="AG235" s="937">
        <f t="shared" si="129"/>
        <v>0</v>
      </c>
      <c r="AH235" s="1172">
        <f t="shared" si="135"/>
        <v>0</v>
      </c>
      <c r="AI235" s="937">
        <f t="shared" si="136"/>
        <v>0</v>
      </c>
    </row>
    <row r="236" spans="1:39" ht="13.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8">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49">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6">
        <f t="shared" si="134"/>
        <v>0</v>
      </c>
      <c r="AE236" s="937">
        <f t="shared" si="127"/>
        <v>0</v>
      </c>
      <c r="AF236" s="937">
        <f t="shared" si="128"/>
        <v>0</v>
      </c>
      <c r="AG236" s="937">
        <f t="shared" si="129"/>
        <v>0</v>
      </c>
      <c r="AH236" s="1172">
        <f t="shared" si="135"/>
        <v>0</v>
      </c>
      <c r="AI236" s="937">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8">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49">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6">
        <f t="shared" si="134"/>
        <v>0</v>
      </c>
      <c r="AE237" s="937">
        <f t="shared" si="127"/>
        <v>0</v>
      </c>
      <c r="AF237" s="937">
        <f t="shared" si="128"/>
        <v>0</v>
      </c>
      <c r="AG237" s="937">
        <f t="shared" si="129"/>
        <v>0</v>
      </c>
      <c r="AH237" s="1172">
        <f t="shared" si="135"/>
        <v>0</v>
      </c>
      <c r="AI237" s="937">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8">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49">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6">
        <f t="shared" si="134"/>
        <v>0</v>
      </c>
      <c r="AE238" s="937">
        <f t="shared" si="127"/>
        <v>0</v>
      </c>
      <c r="AF238" s="937">
        <f t="shared" si="128"/>
        <v>0</v>
      </c>
      <c r="AG238" s="937">
        <f t="shared" si="129"/>
        <v>0</v>
      </c>
      <c r="AH238" s="1172">
        <f t="shared" si="135"/>
        <v>0</v>
      </c>
      <c r="AI238" s="937">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8">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49">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6">
        <f t="shared" si="134"/>
        <v>0</v>
      </c>
      <c r="AE239" s="937">
        <f t="shared" si="127"/>
        <v>0</v>
      </c>
      <c r="AF239" s="937">
        <f t="shared" si="128"/>
        <v>0</v>
      </c>
      <c r="AG239" s="937">
        <f t="shared" si="129"/>
        <v>0</v>
      </c>
      <c r="AH239" s="1172">
        <f t="shared" si="135"/>
        <v>0</v>
      </c>
      <c r="AI239" s="937">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8">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49">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6">
        <f t="shared" si="134"/>
        <v>0</v>
      </c>
      <c r="AE240" s="937">
        <f t="shared" si="127"/>
        <v>0</v>
      </c>
      <c r="AF240" s="937">
        <f t="shared" si="128"/>
        <v>0</v>
      </c>
      <c r="AG240" s="937">
        <f t="shared" si="129"/>
        <v>0</v>
      </c>
      <c r="AH240" s="1172">
        <f t="shared" si="135"/>
        <v>0</v>
      </c>
      <c r="AI240" s="937">
        <f t="shared" si="136"/>
        <v>0</v>
      </c>
    </row>
    <row r="241" spans="1:35" ht="13.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8">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49">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6">
        <f t="shared" si="134"/>
        <v>0</v>
      </c>
      <c r="AE241" s="937">
        <f t="shared" si="127"/>
        <v>0</v>
      </c>
      <c r="AF241" s="937">
        <f t="shared" si="128"/>
        <v>0</v>
      </c>
      <c r="AG241" s="937">
        <f t="shared" si="129"/>
        <v>0</v>
      </c>
      <c r="AH241" s="1172">
        <f t="shared" si="135"/>
        <v>0</v>
      </c>
      <c r="AI241" s="937">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8">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49">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6">
        <f t="shared" si="134"/>
        <v>0</v>
      </c>
      <c r="AE242" s="937">
        <f t="shared" si="127"/>
        <v>0</v>
      </c>
      <c r="AF242" s="937">
        <f t="shared" si="128"/>
        <v>0</v>
      </c>
      <c r="AG242" s="937">
        <f t="shared" si="129"/>
        <v>0</v>
      </c>
      <c r="AH242" s="1172">
        <f t="shared" si="135"/>
        <v>0</v>
      </c>
      <c r="AI242" s="937">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8">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49">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6">
        <f t="shared" si="134"/>
        <v>0</v>
      </c>
      <c r="AE243" s="937">
        <f t="shared" si="127"/>
        <v>0</v>
      </c>
      <c r="AF243" s="937">
        <f t="shared" si="128"/>
        <v>0</v>
      </c>
      <c r="AG243" s="937">
        <f t="shared" si="129"/>
        <v>0</v>
      </c>
      <c r="AH243" s="1172">
        <f t="shared" si="135"/>
        <v>0</v>
      </c>
      <c r="AI243" s="937">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8">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49">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6">
        <f t="shared" si="134"/>
        <v>0</v>
      </c>
      <c r="AE244" s="937">
        <f t="shared" si="127"/>
        <v>0</v>
      </c>
      <c r="AF244" s="937">
        <f t="shared" si="128"/>
        <v>0</v>
      </c>
      <c r="AG244" s="937">
        <f t="shared" si="129"/>
        <v>0</v>
      </c>
      <c r="AH244" s="1172">
        <f t="shared" si="135"/>
        <v>0</v>
      </c>
      <c r="AI244" s="937">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8">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49">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6">
        <f t="shared" si="134"/>
        <v>0</v>
      </c>
      <c r="AE245" s="937">
        <f t="shared" si="127"/>
        <v>0</v>
      </c>
      <c r="AF245" s="937">
        <f t="shared" si="128"/>
        <v>0</v>
      </c>
      <c r="AG245" s="937">
        <f t="shared" si="129"/>
        <v>0</v>
      </c>
      <c r="AH245" s="1172">
        <f t="shared" si="135"/>
        <v>0</v>
      </c>
      <c r="AI245" s="937">
        <f t="shared" si="136"/>
        <v>0</v>
      </c>
    </row>
    <row r="246" spans="1:35" ht="13.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8">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49">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6">
        <f t="shared" si="134"/>
        <v>0</v>
      </c>
      <c r="AE246" s="937">
        <f t="shared" si="127"/>
        <v>0</v>
      </c>
      <c r="AF246" s="937">
        <f t="shared" si="128"/>
        <v>0</v>
      </c>
      <c r="AG246" s="937">
        <f t="shared" si="129"/>
        <v>0</v>
      </c>
      <c r="AH246" s="1172">
        <f t="shared" si="135"/>
        <v>0</v>
      </c>
      <c r="AI246" s="937">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8">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49">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6">
        <f t="shared" si="134"/>
        <v>0</v>
      </c>
      <c r="AE247" s="937">
        <f t="shared" si="127"/>
        <v>0</v>
      </c>
      <c r="AF247" s="937">
        <f t="shared" si="128"/>
        <v>0</v>
      </c>
      <c r="AG247" s="937">
        <f t="shared" si="129"/>
        <v>0</v>
      </c>
      <c r="AH247" s="1172">
        <f t="shared" si="135"/>
        <v>0</v>
      </c>
      <c r="AI247" s="937">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8">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49">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6">
        <f t="shared" si="134"/>
        <v>0</v>
      </c>
      <c r="AE248" s="937">
        <f>SUMPRODUCT($B$74:$L$74,B248:L248)</f>
        <v>0</v>
      </c>
      <c r="AF248" s="937">
        <f>SUMPRODUCT($O$74:$Y$74,O248:Y248)</f>
        <v>0</v>
      </c>
      <c r="AG248" s="937">
        <f>SUM(AE248:AF248)</f>
        <v>0</v>
      </c>
      <c r="AH248" s="1172">
        <f t="shared" si="135"/>
        <v>0</v>
      </c>
      <c r="AI248" s="937">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8">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49">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6">
        <f t="shared" si="134"/>
        <v>0</v>
      </c>
      <c r="AE249" s="937">
        <f t="shared" ref="AE249:AE275" si="137">SUMPRODUCT($B$74:$L$74,B249:L249)</f>
        <v>0</v>
      </c>
      <c r="AF249" s="937">
        <f t="shared" ref="AF249:AF275" si="138">SUMPRODUCT($O$74:$Y$74,O249:Y249)</f>
        <v>0</v>
      </c>
      <c r="AG249" s="937">
        <f t="shared" ref="AG249:AG275" si="139">SUM(AE249:AF249)</f>
        <v>0</v>
      </c>
      <c r="AH249" s="1172">
        <f t="shared" si="135"/>
        <v>0</v>
      </c>
      <c r="AI249" s="937">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8">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49">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6">
        <f t="shared" si="134"/>
        <v>0</v>
      </c>
      <c r="AE250" s="937">
        <f t="shared" si="137"/>
        <v>0</v>
      </c>
      <c r="AF250" s="937">
        <f t="shared" si="138"/>
        <v>0</v>
      </c>
      <c r="AG250" s="937">
        <f t="shared" si="139"/>
        <v>0</v>
      </c>
      <c r="AH250" s="1172">
        <f t="shared" si="135"/>
        <v>0</v>
      </c>
      <c r="AI250" s="937">
        <f t="shared" si="136"/>
        <v>0</v>
      </c>
    </row>
    <row r="251" spans="1:35" ht="13.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8">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49">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6">
        <f t="shared" si="134"/>
        <v>0</v>
      </c>
      <c r="AE251" s="937">
        <f t="shared" si="137"/>
        <v>0</v>
      </c>
      <c r="AF251" s="937">
        <f t="shared" si="138"/>
        <v>0</v>
      </c>
      <c r="AG251" s="937">
        <f t="shared" si="139"/>
        <v>0</v>
      </c>
      <c r="AH251" s="1172">
        <f t="shared" si="135"/>
        <v>0</v>
      </c>
      <c r="AI251" s="937">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8">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49">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6">
        <f t="shared" si="134"/>
        <v>0</v>
      </c>
      <c r="AE252" s="937">
        <f t="shared" si="137"/>
        <v>0</v>
      </c>
      <c r="AF252" s="937">
        <f t="shared" si="138"/>
        <v>0</v>
      </c>
      <c r="AG252" s="937">
        <f t="shared" si="139"/>
        <v>0</v>
      </c>
      <c r="AH252" s="1172">
        <f t="shared" si="135"/>
        <v>0</v>
      </c>
      <c r="AI252" s="937">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8">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49">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6">
        <f t="shared" si="134"/>
        <v>0</v>
      </c>
      <c r="AE253" s="937">
        <f t="shared" si="137"/>
        <v>0</v>
      </c>
      <c r="AF253" s="937">
        <f t="shared" si="138"/>
        <v>0</v>
      </c>
      <c r="AG253" s="937">
        <f t="shared" si="139"/>
        <v>0</v>
      </c>
      <c r="AH253" s="1172">
        <f t="shared" si="135"/>
        <v>0</v>
      </c>
      <c r="AI253" s="937">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8">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49">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6">
        <f t="shared" si="134"/>
        <v>0</v>
      </c>
      <c r="AE254" s="937">
        <f t="shared" si="137"/>
        <v>0</v>
      </c>
      <c r="AF254" s="937">
        <f t="shared" si="138"/>
        <v>0</v>
      </c>
      <c r="AG254" s="937">
        <f t="shared" si="139"/>
        <v>0</v>
      </c>
      <c r="AH254" s="1172">
        <f t="shared" si="135"/>
        <v>0</v>
      </c>
      <c r="AI254" s="937">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8">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49">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6">
        <f t="shared" si="134"/>
        <v>0</v>
      </c>
      <c r="AE255" s="937">
        <f t="shared" si="137"/>
        <v>0</v>
      </c>
      <c r="AF255" s="937">
        <f t="shared" si="138"/>
        <v>0</v>
      </c>
      <c r="AG255" s="937">
        <f t="shared" si="139"/>
        <v>0</v>
      </c>
      <c r="AH255" s="1172">
        <f t="shared" si="135"/>
        <v>0</v>
      </c>
      <c r="AI255" s="937">
        <f t="shared" si="136"/>
        <v>0</v>
      </c>
    </row>
    <row r="256" spans="1:35" ht="13.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8">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49">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6">
        <f t="shared" si="134"/>
        <v>0</v>
      </c>
      <c r="AE256" s="937">
        <f t="shared" si="137"/>
        <v>0</v>
      </c>
      <c r="AF256" s="937">
        <f t="shared" si="138"/>
        <v>0</v>
      </c>
      <c r="AG256" s="937">
        <f t="shared" si="139"/>
        <v>0</v>
      </c>
      <c r="AH256" s="1172">
        <f t="shared" si="135"/>
        <v>0</v>
      </c>
      <c r="AI256" s="937">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8">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49">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6">
        <f t="shared" si="134"/>
        <v>0</v>
      </c>
      <c r="AE257" s="937">
        <f t="shared" si="137"/>
        <v>0</v>
      </c>
      <c r="AF257" s="937">
        <f t="shared" si="138"/>
        <v>0</v>
      </c>
      <c r="AG257" s="937">
        <f t="shared" si="139"/>
        <v>0</v>
      </c>
      <c r="AH257" s="1172">
        <f t="shared" si="135"/>
        <v>0</v>
      </c>
      <c r="AI257" s="937">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8">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49">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6">
        <f t="shared" si="134"/>
        <v>0</v>
      </c>
      <c r="AE258" s="937">
        <f t="shared" si="137"/>
        <v>0</v>
      </c>
      <c r="AF258" s="937">
        <f t="shared" si="138"/>
        <v>0</v>
      </c>
      <c r="AG258" s="937">
        <f t="shared" si="139"/>
        <v>0</v>
      </c>
      <c r="AH258" s="1172">
        <f t="shared" si="135"/>
        <v>0</v>
      </c>
      <c r="AI258" s="937">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8">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49">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6">
        <f>AB259*AH259+AC259*AI259</f>
        <v>0</v>
      </c>
      <c r="AE259" s="937">
        <f t="shared" si="137"/>
        <v>0</v>
      </c>
      <c r="AF259" s="937">
        <f t="shared" si="138"/>
        <v>0</v>
      </c>
      <c r="AG259" s="937">
        <f t="shared" si="139"/>
        <v>0</v>
      </c>
      <c r="AH259" s="1172">
        <f t="shared" si="135"/>
        <v>0</v>
      </c>
      <c r="AI259" s="937">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8">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49">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6">
        <f t="shared" ref="AD260:AD276" si="140">AB260*AH260+AC260*AI260</f>
        <v>0</v>
      </c>
      <c r="AE260" s="937">
        <f t="shared" si="137"/>
        <v>0</v>
      </c>
      <c r="AF260" s="937">
        <f t="shared" si="138"/>
        <v>0</v>
      </c>
      <c r="AG260" s="937">
        <f t="shared" si="139"/>
        <v>0</v>
      </c>
      <c r="AH260" s="1172">
        <f t="shared" si="135"/>
        <v>0</v>
      </c>
      <c r="AI260" s="937">
        <f t="shared" si="136"/>
        <v>0</v>
      </c>
    </row>
    <row r="261" spans="1:35" ht="13.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8">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49">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6">
        <f t="shared" si="140"/>
        <v>0</v>
      </c>
      <c r="AE261" s="937">
        <f t="shared" si="137"/>
        <v>0</v>
      </c>
      <c r="AF261" s="937">
        <f t="shared" si="138"/>
        <v>0</v>
      </c>
      <c r="AG261" s="937">
        <f t="shared" si="139"/>
        <v>0</v>
      </c>
      <c r="AH261" s="1172">
        <f t="shared" si="135"/>
        <v>0</v>
      </c>
      <c r="AI261" s="937">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8">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49">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6">
        <f t="shared" si="140"/>
        <v>0</v>
      </c>
      <c r="AE262" s="937">
        <f t="shared" si="137"/>
        <v>0</v>
      </c>
      <c r="AF262" s="937">
        <f t="shared" si="138"/>
        <v>0</v>
      </c>
      <c r="AG262" s="937">
        <f t="shared" si="139"/>
        <v>0</v>
      </c>
      <c r="AH262" s="1172">
        <f t="shared" si="135"/>
        <v>0</v>
      </c>
      <c r="AI262" s="937">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8">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49">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6">
        <f t="shared" si="140"/>
        <v>0</v>
      </c>
      <c r="AE263" s="937">
        <f t="shared" si="137"/>
        <v>0</v>
      </c>
      <c r="AF263" s="937">
        <f t="shared" si="138"/>
        <v>0</v>
      </c>
      <c r="AG263" s="937">
        <f t="shared" si="139"/>
        <v>0</v>
      </c>
      <c r="AH263" s="1172">
        <f t="shared" si="135"/>
        <v>0</v>
      </c>
      <c r="AI263" s="937">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8">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49">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6">
        <f t="shared" si="140"/>
        <v>0</v>
      </c>
      <c r="AE264" s="937">
        <f t="shared" si="137"/>
        <v>0</v>
      </c>
      <c r="AF264" s="937">
        <f t="shared" si="138"/>
        <v>0</v>
      </c>
      <c r="AG264" s="937">
        <f t="shared" si="139"/>
        <v>0</v>
      </c>
      <c r="AH264" s="1172">
        <f t="shared" si="135"/>
        <v>0</v>
      </c>
      <c r="AI264" s="937">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3.7456358001920553E-4</v>
      </c>
      <c r="X265" s="345">
        <v>1.413168746497128E-3</v>
      </c>
      <c r="Y265" s="380">
        <v>7.038165765502675E-3</v>
      </c>
      <c r="Z265" s="296">
        <f t="shared" si="132"/>
        <v>1.192715609151925E-4</v>
      </c>
      <c r="AA265" s="298">
        <f t="shared" si="133"/>
        <v>4.2508829008436978E-5</v>
      </c>
      <c r="AB265" s="948">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49">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6">
        <f t="shared" si="140"/>
        <v>0</v>
      </c>
      <c r="AE265" s="937">
        <f t="shared" si="137"/>
        <v>0</v>
      </c>
      <c r="AF265" s="937">
        <f t="shared" si="138"/>
        <v>1.192715609151925E-4</v>
      </c>
      <c r="AG265" s="937">
        <f t="shared" si="139"/>
        <v>1.192715609151925E-4</v>
      </c>
      <c r="AH265" s="1172">
        <f t="shared" si="135"/>
        <v>0</v>
      </c>
      <c r="AI265" s="937">
        <f t="shared" si="136"/>
        <v>1</v>
      </c>
    </row>
    <row r="266" spans="1:35" ht="13.5" thickBot="1" x14ac:dyDescent="0.25">
      <c r="A266" s="328">
        <v>2040</v>
      </c>
      <c r="B266" s="346">
        <v>0</v>
      </c>
      <c r="C266" s="347">
        <v>0</v>
      </c>
      <c r="D266" s="347">
        <v>0</v>
      </c>
      <c r="E266" s="347">
        <v>0</v>
      </c>
      <c r="F266" s="347">
        <v>0</v>
      </c>
      <c r="G266" s="347">
        <v>0</v>
      </c>
      <c r="H266" s="347">
        <v>0</v>
      </c>
      <c r="I266" s="347">
        <v>0</v>
      </c>
      <c r="J266" s="347">
        <v>4.6926475038551159E-4</v>
      </c>
      <c r="K266" s="347">
        <v>2.0326700169563416E-3</v>
      </c>
      <c r="L266" s="381">
        <v>1.2429108237496173E-2</v>
      </c>
      <c r="M266" s="310">
        <f t="shared" si="130"/>
        <v>4.5285458760955545E-4</v>
      </c>
      <c r="N266" s="312">
        <f t="shared" si="131"/>
        <v>1.5956424436097756E-4</v>
      </c>
      <c r="O266" s="346">
        <v>0</v>
      </c>
      <c r="P266" s="347">
        <v>0</v>
      </c>
      <c r="Q266" s="347">
        <v>0</v>
      </c>
      <c r="R266" s="347">
        <v>0</v>
      </c>
      <c r="S266" s="347">
        <v>0</v>
      </c>
      <c r="T266" s="347">
        <v>0</v>
      </c>
      <c r="U266" s="347">
        <v>4.7392089036408928E-4</v>
      </c>
      <c r="V266" s="347">
        <v>2.7644531576475006E-3</v>
      </c>
      <c r="W266" s="347">
        <v>1.4139960577680261E-2</v>
      </c>
      <c r="X266" s="347">
        <v>2.5173784187402369E-2</v>
      </c>
      <c r="Y266" s="381">
        <v>5.0950845810169107E-2</v>
      </c>
      <c r="Z266" s="310">
        <f t="shared" si="132"/>
        <v>1.1697322867800924E-3</v>
      </c>
      <c r="AA266" s="312">
        <f t="shared" si="133"/>
        <v>4.4821315760651599E-4</v>
      </c>
      <c r="AB266" s="948">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49">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6">
        <f t="shared" si="140"/>
        <v>0</v>
      </c>
      <c r="AE266" s="937">
        <f t="shared" si="137"/>
        <v>4.5285458760955545E-4</v>
      </c>
      <c r="AF266" s="937">
        <f t="shared" si="138"/>
        <v>1.1697322867800924E-3</v>
      </c>
      <c r="AG266" s="937">
        <f t="shared" si="139"/>
        <v>1.622586874389648E-3</v>
      </c>
      <c r="AH266" s="1172">
        <f t="shared" si="135"/>
        <v>0.27909420121489714</v>
      </c>
      <c r="AI266" s="937">
        <f t="shared" si="136"/>
        <v>0.72090579878510275</v>
      </c>
    </row>
    <row r="267" spans="1:35" x14ac:dyDescent="0.2">
      <c r="A267" s="329">
        <v>2041</v>
      </c>
      <c r="B267" s="342">
        <v>0</v>
      </c>
      <c r="C267" s="343">
        <v>0</v>
      </c>
      <c r="D267" s="343">
        <v>0</v>
      </c>
      <c r="E267" s="343">
        <v>0</v>
      </c>
      <c r="F267" s="343">
        <v>0</v>
      </c>
      <c r="G267" s="343">
        <v>2.5112220438715217E-4</v>
      </c>
      <c r="H267" s="343">
        <v>2.9699074964929825E-3</v>
      </c>
      <c r="I267" s="343">
        <v>1.1791996514889824E-2</v>
      </c>
      <c r="J267" s="343">
        <v>2.6897651639033193E-2</v>
      </c>
      <c r="K267" s="343">
        <v>4.4915791370421093E-2</v>
      </c>
      <c r="L267" s="379">
        <v>8.9181850883073413E-2</v>
      </c>
      <c r="M267" s="282">
        <f t="shared" si="130"/>
        <v>5.5398921410528042E-3</v>
      </c>
      <c r="N267" s="284">
        <f t="shared" si="131"/>
        <v>2.2536776008014528E-3</v>
      </c>
      <c r="O267" s="342">
        <v>0</v>
      </c>
      <c r="P267" s="343">
        <v>0</v>
      </c>
      <c r="Q267" s="343">
        <v>0</v>
      </c>
      <c r="R267" s="343">
        <v>0</v>
      </c>
      <c r="S267" s="343">
        <v>3.651854694944627E-4</v>
      </c>
      <c r="T267" s="343">
        <v>6.1194288116646631E-3</v>
      </c>
      <c r="U267" s="343">
        <v>1.7131577384362287E-2</v>
      </c>
      <c r="V267" s="343">
        <v>3.6896752401468377E-2</v>
      </c>
      <c r="W267" s="343">
        <v>7.6461859685675065E-2</v>
      </c>
      <c r="X267" s="343">
        <v>9.6125760050311579E-2</v>
      </c>
      <c r="Y267" s="379">
        <v>0.13296585537309155</v>
      </c>
      <c r="Z267" s="282">
        <f t="shared" si="132"/>
        <v>5.3886646265732027E-3</v>
      </c>
      <c r="AA267" s="284">
        <f t="shared" si="133"/>
        <v>2.4567536517538218E-3</v>
      </c>
      <c r="AB267" s="948">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49">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6">
        <f t="shared" si="140"/>
        <v>0</v>
      </c>
      <c r="AE267" s="937">
        <f t="shared" si="137"/>
        <v>5.5398921410528042E-3</v>
      </c>
      <c r="AF267" s="937">
        <f t="shared" si="138"/>
        <v>5.3886646265732027E-3</v>
      </c>
      <c r="AG267" s="937">
        <f t="shared" si="139"/>
        <v>1.0928556767626007E-2</v>
      </c>
      <c r="AH267" s="1172">
        <f t="shared" si="135"/>
        <v>0.50691891517311727</v>
      </c>
      <c r="AI267" s="937">
        <f t="shared" si="136"/>
        <v>0.49308108482688273</v>
      </c>
    </row>
    <row r="268" spans="1:35" x14ac:dyDescent="0.2">
      <c r="A268" s="330">
        <v>2042</v>
      </c>
      <c r="B268" s="344">
        <v>0</v>
      </c>
      <c r="C268" s="345">
        <v>0</v>
      </c>
      <c r="D268" s="345">
        <v>0</v>
      </c>
      <c r="E268" s="345">
        <v>9.0670852701116826E-5</v>
      </c>
      <c r="F268" s="345">
        <v>3.7310190029521389E-3</v>
      </c>
      <c r="G268" s="345">
        <v>2.0723595030005895E-2</v>
      </c>
      <c r="H268" s="345">
        <v>5.2997570134423806E-2</v>
      </c>
      <c r="I268" s="345">
        <v>8.8386700726104162E-2</v>
      </c>
      <c r="J268" s="345">
        <v>0.11747901117979803</v>
      </c>
      <c r="K268" s="345">
        <v>0.14122683401487698</v>
      </c>
      <c r="L268" s="380">
        <v>0.18213001280113442</v>
      </c>
      <c r="M268" s="296">
        <f t="shared" si="130"/>
        <v>2.429809309311913E-2</v>
      </c>
      <c r="N268" s="298">
        <f t="shared" si="131"/>
        <v>1.1856741101342907E-2</v>
      </c>
      <c r="O268" s="344">
        <v>0</v>
      </c>
      <c r="P268" s="345">
        <v>0</v>
      </c>
      <c r="Q268" s="345">
        <v>0</v>
      </c>
      <c r="R268" s="345">
        <v>1.7806478249003865E-3</v>
      </c>
      <c r="S268" s="345">
        <v>1.6211113269890939E-2</v>
      </c>
      <c r="T268" s="345">
        <v>5.8181970392521994E-2</v>
      </c>
      <c r="U268" s="345">
        <v>8.848462567481237E-2</v>
      </c>
      <c r="V268" s="345">
        <v>0.11768045307474317</v>
      </c>
      <c r="W268" s="345">
        <v>0.1578437469285229</v>
      </c>
      <c r="X268" s="345">
        <v>0.18213001280113442</v>
      </c>
      <c r="Y268" s="380">
        <v>0.20547530946519629</v>
      </c>
      <c r="Z268" s="296">
        <f t="shared" si="132"/>
        <v>1.7203875577933646E-2</v>
      </c>
      <c r="AA268" s="298">
        <f t="shared" si="133"/>
        <v>9.5737491701345396E-3</v>
      </c>
      <c r="AB268" s="948">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49">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6">
        <f t="shared" si="140"/>
        <v>0</v>
      </c>
      <c r="AE268" s="937">
        <f t="shared" si="137"/>
        <v>2.429809309311913E-2</v>
      </c>
      <c r="AF268" s="937">
        <f t="shared" si="138"/>
        <v>1.7203875577933646E-2</v>
      </c>
      <c r="AG268" s="937">
        <f t="shared" si="139"/>
        <v>4.1501968671052776E-2</v>
      </c>
      <c r="AH268" s="1172">
        <f t="shared" si="135"/>
        <v>0.58546844574307666</v>
      </c>
      <c r="AI268" s="937">
        <f t="shared" si="136"/>
        <v>0.41453155425692334</v>
      </c>
    </row>
    <row r="269" spans="1:35" x14ac:dyDescent="0.2">
      <c r="A269" s="330">
        <v>2043</v>
      </c>
      <c r="B269" s="344">
        <v>0</v>
      </c>
      <c r="C269" s="345">
        <v>0</v>
      </c>
      <c r="D269" s="345">
        <v>0</v>
      </c>
      <c r="E269" s="345">
        <v>7.0978387717357478E-3</v>
      </c>
      <c r="F269" s="345">
        <v>3.8158719474168247E-2</v>
      </c>
      <c r="G269" s="345">
        <v>8.7020050093700063E-2</v>
      </c>
      <c r="H269" s="345">
        <v>0.13304723904476773</v>
      </c>
      <c r="I269" s="345">
        <v>0.16692158076679678</v>
      </c>
      <c r="J269" s="345">
        <v>0.19252669089075569</v>
      </c>
      <c r="K269" s="345">
        <v>0.20868860513775955</v>
      </c>
      <c r="L269" s="380">
        <v>0.23835756155926716</v>
      </c>
      <c r="M269" s="296">
        <f t="shared" si="130"/>
        <v>5.1247981913487659E-2</v>
      </c>
      <c r="N269" s="298">
        <f t="shared" si="131"/>
        <v>2.846437886515768E-2</v>
      </c>
      <c r="O269" s="344">
        <v>0</v>
      </c>
      <c r="P269" s="345">
        <v>0</v>
      </c>
      <c r="Q269" s="345">
        <v>9.9263631963844492E-4</v>
      </c>
      <c r="R269" s="345">
        <v>2.4709940842619255E-2</v>
      </c>
      <c r="S269" s="345">
        <v>7.4633505240001105E-2</v>
      </c>
      <c r="T269" s="345">
        <v>0.13313257824525859</v>
      </c>
      <c r="U269" s="345">
        <v>0.16716001487357215</v>
      </c>
      <c r="V269" s="345">
        <v>0.19252669089075569</v>
      </c>
      <c r="W269" s="345">
        <v>0.22416759196567615</v>
      </c>
      <c r="X269" s="345">
        <v>0.23144555176154502</v>
      </c>
      <c r="Y269" s="380">
        <v>0.25091292223568806</v>
      </c>
      <c r="Z269" s="296">
        <f t="shared" si="132"/>
        <v>3.4957824412627472E-2</v>
      </c>
      <c r="AA269" s="298">
        <f t="shared" si="133"/>
        <v>2.2216716726381945E-2</v>
      </c>
      <c r="AB269" s="948">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49">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6">
        <f t="shared" si="140"/>
        <v>0</v>
      </c>
      <c r="AE269" s="937">
        <f t="shared" si="137"/>
        <v>5.1247981913487659E-2</v>
      </c>
      <c r="AF269" s="937">
        <f t="shared" si="138"/>
        <v>3.4957824412627472E-2</v>
      </c>
      <c r="AG269" s="937">
        <f t="shared" si="139"/>
        <v>8.6205806326115131E-2</v>
      </c>
      <c r="AH269" s="1172">
        <f t="shared" si="135"/>
        <v>0.59448410840932686</v>
      </c>
      <c r="AI269" s="937">
        <f t="shared" si="136"/>
        <v>0.40551589159067319</v>
      </c>
    </row>
    <row r="270" spans="1:35" x14ac:dyDescent="0.2">
      <c r="A270" s="330">
        <v>2044</v>
      </c>
      <c r="B270" s="344">
        <v>0</v>
      </c>
      <c r="C270" s="345">
        <v>0</v>
      </c>
      <c r="D270" s="345">
        <v>3.7074517056905365E-3</v>
      </c>
      <c r="E270" s="345">
        <v>4.8944437980473286E-2</v>
      </c>
      <c r="F270" s="345">
        <v>0.11449521103462768</v>
      </c>
      <c r="G270" s="345">
        <v>0.16617819714418483</v>
      </c>
      <c r="H270" s="345">
        <v>0.20159137107714251</v>
      </c>
      <c r="I270" s="345">
        <v>0.22644920387515732</v>
      </c>
      <c r="J270" s="345">
        <v>0.24149501396333939</v>
      </c>
      <c r="K270" s="345">
        <v>0.25529280364659729</v>
      </c>
      <c r="L270" s="380">
        <v>0.26721782342167688</v>
      </c>
      <c r="M270" s="296">
        <f t="shared" si="130"/>
        <v>8.3233060028624364E-2</v>
      </c>
      <c r="N270" s="298">
        <f t="shared" si="131"/>
        <v>5.1763695708958876E-2</v>
      </c>
      <c r="O270" s="344">
        <v>0</v>
      </c>
      <c r="P270" s="345">
        <v>0</v>
      </c>
      <c r="Q270" s="345">
        <v>1.6598735476019724E-2</v>
      </c>
      <c r="R270" s="345">
        <v>8.4168173130460336E-2</v>
      </c>
      <c r="S270" s="345">
        <v>0.14823596734320041</v>
      </c>
      <c r="T270" s="345">
        <v>0.20157631231545189</v>
      </c>
      <c r="U270" s="345">
        <v>0.22669452195937198</v>
      </c>
      <c r="V270" s="345">
        <v>0.2417901161108445</v>
      </c>
      <c r="W270" s="345">
        <v>0.26151047863042659</v>
      </c>
      <c r="X270" s="345">
        <v>0.26721782342167688</v>
      </c>
      <c r="Y270" s="380">
        <v>0.27693229328932839</v>
      </c>
      <c r="Z270" s="296">
        <f t="shared" si="132"/>
        <v>5.4575971008245086E-2</v>
      </c>
      <c r="AA270" s="298">
        <f t="shared" si="133"/>
        <v>3.8144532955030903E-2</v>
      </c>
      <c r="AB270" s="948">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49">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6">
        <f t="shared" si="140"/>
        <v>0</v>
      </c>
      <c r="AE270" s="937">
        <f t="shared" si="137"/>
        <v>8.3233060028624364E-2</v>
      </c>
      <c r="AF270" s="937">
        <f t="shared" si="138"/>
        <v>5.4575971008245086E-2</v>
      </c>
      <c r="AG270" s="937">
        <f t="shared" si="139"/>
        <v>0.13780903103686945</v>
      </c>
      <c r="AH270" s="1172">
        <f t="shared" si="135"/>
        <v>0.60397391522443966</v>
      </c>
      <c r="AI270" s="937">
        <f t="shared" si="136"/>
        <v>0.39602608477556034</v>
      </c>
    </row>
    <row r="271" spans="1:35" ht="13.5" thickBot="1" x14ac:dyDescent="0.25">
      <c r="A271" s="328">
        <v>2045</v>
      </c>
      <c r="B271" s="346">
        <v>0</v>
      </c>
      <c r="C271" s="347">
        <v>0</v>
      </c>
      <c r="D271" s="347">
        <v>3.054360594443415E-2</v>
      </c>
      <c r="E271" s="347">
        <v>0.10328496490140703</v>
      </c>
      <c r="F271" s="347">
        <v>0.18073691699870373</v>
      </c>
      <c r="G271" s="347">
        <v>0.21709629686924745</v>
      </c>
      <c r="H271" s="347">
        <v>0.24970960459050237</v>
      </c>
      <c r="I271" s="347">
        <v>0.26356230471024505</v>
      </c>
      <c r="J271" s="347">
        <v>0.27540435919088652</v>
      </c>
      <c r="K271" s="347">
        <v>0.28065453478211999</v>
      </c>
      <c r="L271" s="381">
        <v>0.28928479070552954</v>
      </c>
      <c r="M271" s="310">
        <f t="shared" si="130"/>
        <v>0.11017069003663535</v>
      </c>
      <c r="N271" s="312">
        <f t="shared" si="131"/>
        <v>7.3629182055962666E-2</v>
      </c>
      <c r="O271" s="346">
        <v>0</v>
      </c>
      <c r="P271" s="347">
        <v>9.7801159515086651E-4</v>
      </c>
      <c r="Q271" s="347">
        <v>6.0760321604241191E-2</v>
      </c>
      <c r="R271" s="347">
        <v>0.14000026541376276</v>
      </c>
      <c r="S271" s="347">
        <v>0.20807569841902848</v>
      </c>
      <c r="T271" s="347">
        <v>0.2420526174873201</v>
      </c>
      <c r="U271" s="347">
        <v>0.26301779085810295</v>
      </c>
      <c r="V271" s="347">
        <v>0.26958881121010486</v>
      </c>
      <c r="W271" s="347">
        <v>0.28529639199816387</v>
      </c>
      <c r="X271" s="347">
        <v>0.28928479070552954</v>
      </c>
      <c r="Y271" s="381">
        <v>0.2925700161127161</v>
      </c>
      <c r="Z271" s="310">
        <f t="shared" si="132"/>
        <v>7.0552431125484621E-2</v>
      </c>
      <c r="AA271" s="312">
        <f t="shared" si="133"/>
        <v>5.2547609554651473E-2</v>
      </c>
      <c r="AB271" s="948">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49">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6">
        <f t="shared" si="140"/>
        <v>0</v>
      </c>
      <c r="AE271" s="937">
        <f t="shared" si="137"/>
        <v>0.11017069003663535</v>
      </c>
      <c r="AF271" s="937">
        <f t="shared" si="138"/>
        <v>7.0552431125484621E-2</v>
      </c>
      <c r="AG271" s="937">
        <f t="shared" si="139"/>
        <v>0.18072312116211997</v>
      </c>
      <c r="AH271" s="1172">
        <f t="shared" si="135"/>
        <v>0.60961037706849552</v>
      </c>
      <c r="AI271" s="937">
        <f t="shared" si="136"/>
        <v>0.39038962293150453</v>
      </c>
    </row>
    <row r="272" spans="1:35" x14ac:dyDescent="0.2">
      <c r="A272" s="329">
        <v>2046</v>
      </c>
      <c r="B272" s="342">
        <v>0</v>
      </c>
      <c r="C272" s="343">
        <v>1.0089401955745037E-3</v>
      </c>
      <c r="D272" s="343">
        <v>6.4555963356529369E-2</v>
      </c>
      <c r="E272" s="343">
        <v>0.14020612393325213</v>
      </c>
      <c r="F272" s="343">
        <v>0.22163775778391415</v>
      </c>
      <c r="G272" s="343">
        <v>0.25489293323432699</v>
      </c>
      <c r="H272" s="343">
        <v>0.27494969960215537</v>
      </c>
      <c r="I272" s="343">
        <v>0.28109180555659569</v>
      </c>
      <c r="J272" s="343">
        <v>0.29110296777492628</v>
      </c>
      <c r="K272" s="343">
        <v>0.29513774250771679</v>
      </c>
      <c r="L272" s="379">
        <v>0.30101177512998673</v>
      </c>
      <c r="M272" s="282">
        <f t="shared" si="130"/>
        <v>0.12760057289044982</v>
      </c>
      <c r="N272" s="284">
        <f t="shared" si="131"/>
        <v>8.8916813249603724E-2</v>
      </c>
      <c r="O272" s="342">
        <v>0</v>
      </c>
      <c r="P272" s="343">
        <v>7.3044817011243962E-3</v>
      </c>
      <c r="Q272" s="343">
        <v>9.1999781908413736E-2</v>
      </c>
      <c r="R272" s="343">
        <v>0.16220096815672053</v>
      </c>
      <c r="S272" s="343">
        <v>0.23866001255290675</v>
      </c>
      <c r="T272" s="343">
        <v>0.26932464947621887</v>
      </c>
      <c r="U272" s="343">
        <v>0.281417074329947</v>
      </c>
      <c r="V272" s="343">
        <v>0.28640593806697418</v>
      </c>
      <c r="W272" s="343">
        <v>0.29513774250771679</v>
      </c>
      <c r="X272" s="343">
        <v>0.2984604531562115</v>
      </c>
      <c r="Y272" s="379">
        <v>0.30101177512998673</v>
      </c>
      <c r="Z272" s="282">
        <f t="shared" si="132"/>
        <v>7.9171791084885604E-2</v>
      </c>
      <c r="AA272" s="284">
        <f t="shared" si="133"/>
        <v>6.0635792573200752E-2</v>
      </c>
      <c r="AB272" s="948">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49">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6">
        <f t="shared" si="140"/>
        <v>0</v>
      </c>
      <c r="AE272" s="937">
        <f t="shared" si="137"/>
        <v>0.12760057289044982</v>
      </c>
      <c r="AF272" s="937">
        <f t="shared" si="138"/>
        <v>7.9171791084885604E-2</v>
      </c>
      <c r="AG272" s="937">
        <f t="shared" si="139"/>
        <v>0.20677236397533544</v>
      </c>
      <c r="AH272" s="1172">
        <f t="shared" si="135"/>
        <v>0.61710651480325718</v>
      </c>
      <c r="AI272" s="937">
        <f t="shared" si="136"/>
        <v>0.38289348519674277</v>
      </c>
    </row>
    <row r="273" spans="1:39" x14ac:dyDescent="0.2">
      <c r="A273" s="330">
        <v>2047</v>
      </c>
      <c r="B273" s="344">
        <v>0</v>
      </c>
      <c r="C273" s="345">
        <v>6.3186265674759967E-3</v>
      </c>
      <c r="D273" s="345">
        <v>9.7097267618518182E-2</v>
      </c>
      <c r="E273" s="345">
        <v>0.1629959759316322</v>
      </c>
      <c r="F273" s="345">
        <v>0.25012015206543259</v>
      </c>
      <c r="G273" s="345">
        <v>0.27153683376695731</v>
      </c>
      <c r="H273" s="345">
        <v>0.28988472027038775</v>
      </c>
      <c r="I273" s="345">
        <v>0.29489909482999571</v>
      </c>
      <c r="J273" s="345">
        <v>0.29896342157878253</v>
      </c>
      <c r="K273" s="345">
        <v>0.30230999807297804</v>
      </c>
      <c r="L273" s="380">
        <v>0.30659006722935178</v>
      </c>
      <c r="M273" s="296">
        <f t="shared" si="130"/>
        <v>0.13917152696034404</v>
      </c>
      <c r="N273" s="298">
        <f t="shared" si="131"/>
        <v>9.9875983483539682E-2</v>
      </c>
      <c r="O273" s="344">
        <v>0</v>
      </c>
      <c r="P273" s="345">
        <v>2.207512981814027E-2</v>
      </c>
      <c r="Q273" s="345">
        <v>0.12368306786526236</v>
      </c>
      <c r="R273" s="345">
        <v>0.17609199549120524</v>
      </c>
      <c r="S273" s="345">
        <v>0.26523882372082208</v>
      </c>
      <c r="T273" s="345">
        <v>0.28535179426818946</v>
      </c>
      <c r="U273" s="345">
        <v>0.2952336537757328</v>
      </c>
      <c r="V273" s="345">
        <v>0.29896342157878253</v>
      </c>
      <c r="W273" s="345">
        <v>0.30487935673708055</v>
      </c>
      <c r="X273" s="345">
        <v>0.30487935673708055</v>
      </c>
      <c r="Y273" s="380">
        <v>0.30659006722935178</v>
      </c>
      <c r="Z273" s="296">
        <f t="shared" si="132"/>
        <v>8.6203302355393058E-2</v>
      </c>
      <c r="AA273" s="298">
        <f t="shared" si="133"/>
        <v>6.7835428952296856E-2</v>
      </c>
      <c r="AB273" s="948">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49">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6">
        <f t="shared" si="140"/>
        <v>0</v>
      </c>
      <c r="AE273" s="937">
        <f t="shared" si="137"/>
        <v>0.13917152696034404</v>
      </c>
      <c r="AF273" s="937">
        <f t="shared" si="138"/>
        <v>8.6203302355393058E-2</v>
      </c>
      <c r="AG273" s="937">
        <f t="shared" si="139"/>
        <v>0.2253748293157371</v>
      </c>
      <c r="AH273" s="1172">
        <f t="shared" si="135"/>
        <v>0.6175114025948869</v>
      </c>
      <c r="AI273" s="937">
        <f t="shared" si="136"/>
        <v>0.38248859740511315</v>
      </c>
    </row>
    <row r="274" spans="1:39" x14ac:dyDescent="0.2">
      <c r="A274" s="330">
        <v>2048</v>
      </c>
      <c r="B274" s="344">
        <v>0</v>
      </c>
      <c r="C274" s="345">
        <v>1.4333112638489926E-2</v>
      </c>
      <c r="D274" s="345">
        <v>0.11256588692960516</v>
      </c>
      <c r="E274" s="345">
        <v>0.17327549028333264</v>
      </c>
      <c r="F274" s="345">
        <v>0.26746920929808471</v>
      </c>
      <c r="G274" s="345">
        <v>0.28619711458814795</v>
      </c>
      <c r="H274" s="345">
        <v>0.29763164762108019</v>
      </c>
      <c r="I274" s="345">
        <v>0.30137817296050434</v>
      </c>
      <c r="J274" s="345">
        <v>0.30473955300624961</v>
      </c>
      <c r="K274" s="345">
        <v>0.30732009417454925</v>
      </c>
      <c r="L274" s="380">
        <v>0.30903816195662842</v>
      </c>
      <c r="M274" s="296">
        <f t="shared" si="130"/>
        <v>0.14589159180727707</v>
      </c>
      <c r="N274" s="298">
        <f t="shared" si="131"/>
        <v>0.10633484884330982</v>
      </c>
      <c r="O274" s="344">
        <v>0</v>
      </c>
      <c r="P274" s="345">
        <v>3.8011999640509594E-2</v>
      </c>
      <c r="Q274" s="345">
        <v>0.13914136123957502</v>
      </c>
      <c r="R274" s="345">
        <v>0.19411322301545403</v>
      </c>
      <c r="S274" s="345">
        <v>0.27285685087145467</v>
      </c>
      <c r="T274" s="345">
        <v>0.29307914651040423</v>
      </c>
      <c r="U274" s="345">
        <v>0.3017168880629324</v>
      </c>
      <c r="V274" s="345">
        <v>0.30473955300624961</v>
      </c>
      <c r="W274" s="345">
        <v>0.30732009417454925</v>
      </c>
      <c r="X274" s="345">
        <v>0.30903816195662842</v>
      </c>
      <c r="Y274" s="380">
        <v>0.30973177652642808</v>
      </c>
      <c r="Z274" s="296">
        <f t="shared" si="132"/>
        <v>9.006435148659428E-2</v>
      </c>
      <c r="AA274" s="298">
        <f t="shared" si="133"/>
        <v>7.2267368717336383E-2</v>
      </c>
      <c r="AB274" s="948">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49">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6">
        <f t="shared" si="140"/>
        <v>0</v>
      </c>
      <c r="AE274" s="937">
        <f t="shared" si="137"/>
        <v>0.14589159180727707</v>
      </c>
      <c r="AF274" s="937">
        <f t="shared" si="138"/>
        <v>9.006435148659428E-2</v>
      </c>
      <c r="AG274" s="937">
        <f t="shared" si="139"/>
        <v>0.23595594329387135</v>
      </c>
      <c r="AH274" s="1172">
        <f t="shared" si="135"/>
        <v>0.61830013590959387</v>
      </c>
      <c r="AI274" s="937">
        <f t="shared" si="136"/>
        <v>0.38169986409040618</v>
      </c>
    </row>
    <row r="275" spans="1:39" x14ac:dyDescent="0.2">
      <c r="A275" s="330">
        <v>2049</v>
      </c>
      <c r="B275" s="344">
        <v>0</v>
      </c>
      <c r="C275" s="345">
        <v>2.5004026254497765E-2</v>
      </c>
      <c r="D275" s="345">
        <v>0.12865823343272353</v>
      </c>
      <c r="E275" s="345">
        <v>0.18601348515435626</v>
      </c>
      <c r="F275" s="345">
        <v>0.27580935521877781</v>
      </c>
      <c r="G275" s="345">
        <v>0.29454974707537024</v>
      </c>
      <c r="H275" s="345">
        <v>0.30321355675553147</v>
      </c>
      <c r="I275" s="345">
        <v>0.30624432967460902</v>
      </c>
      <c r="J275" s="345">
        <v>0.30883171836362144</v>
      </c>
      <c r="K275" s="345">
        <v>0.31055429030363102</v>
      </c>
      <c r="L275" s="380">
        <v>0.31124971087691655</v>
      </c>
      <c r="M275" s="296">
        <f t="shared" si="130"/>
        <v>0.15099454279776373</v>
      </c>
      <c r="N275" s="298">
        <f t="shared" si="131"/>
        <v>0.11182439885461268</v>
      </c>
      <c r="O275" s="344">
        <v>0</v>
      </c>
      <c r="P275" s="345">
        <v>4.7105317900830564E-2</v>
      </c>
      <c r="Q275" s="345">
        <v>0.14929435622733039</v>
      </c>
      <c r="R275" s="345">
        <v>0.19760607704834421</v>
      </c>
      <c r="S275" s="345">
        <v>0.28069244935376719</v>
      </c>
      <c r="T275" s="345">
        <v>0.29848079626300505</v>
      </c>
      <c r="U275" s="345">
        <v>0.30321355675553147</v>
      </c>
      <c r="V275" s="345">
        <v>0.30883171836362144</v>
      </c>
      <c r="W275" s="345">
        <v>0.31055429030363102</v>
      </c>
      <c r="X275" s="345">
        <v>0.31055429030363102</v>
      </c>
      <c r="Y275" s="380">
        <v>0.31124971087691655</v>
      </c>
      <c r="Z275" s="296">
        <f t="shared" si="132"/>
        <v>9.2176373651790836E-2</v>
      </c>
      <c r="AA275" s="298">
        <f t="shared" si="133"/>
        <v>7.46667757599042E-2</v>
      </c>
      <c r="AB275" s="948">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49">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6">
        <f t="shared" si="140"/>
        <v>0</v>
      </c>
      <c r="AE275" s="937">
        <f t="shared" si="137"/>
        <v>0.15099454279776373</v>
      </c>
      <c r="AF275" s="937">
        <f t="shared" si="138"/>
        <v>9.2176373651790836E-2</v>
      </c>
      <c r="AG275" s="937">
        <f t="shared" si="139"/>
        <v>0.24317091644955457</v>
      </c>
      <c r="AH275" s="1172">
        <f t="shared" si="135"/>
        <v>0.62093997506929377</v>
      </c>
      <c r="AI275" s="937">
        <f t="shared" si="136"/>
        <v>0.37906002493070623</v>
      </c>
    </row>
    <row r="276" spans="1:39" ht="13.5" thickBot="1" x14ac:dyDescent="0.25">
      <c r="A276" s="328">
        <v>2050</v>
      </c>
      <c r="B276" s="346">
        <v>0</v>
      </c>
      <c r="C276" s="347">
        <v>3.9886963805275032E-2</v>
      </c>
      <c r="D276" s="347">
        <v>0.14584640882233316</v>
      </c>
      <c r="E276" s="347">
        <v>0.19521150626888678</v>
      </c>
      <c r="F276" s="347">
        <v>0.29044289102876064</v>
      </c>
      <c r="G276" s="347">
        <v>0.3016417495975004</v>
      </c>
      <c r="H276" s="347">
        <v>0.30894648345432946</v>
      </c>
      <c r="I276" s="347">
        <v>0.31120127087185301</v>
      </c>
      <c r="J276" s="347">
        <v>0.31293082212618206</v>
      </c>
      <c r="K276" s="347">
        <v>0.31293082212618206</v>
      </c>
      <c r="L276" s="381">
        <v>0.31362904078740012</v>
      </c>
      <c r="M276" s="310">
        <f t="shared" si="130"/>
        <v>0.1567370524784025</v>
      </c>
      <c r="N276" s="312">
        <f t="shared" si="131"/>
        <v>0.11809834827380303</v>
      </c>
      <c r="O276" s="346">
        <v>0</v>
      </c>
      <c r="P276" s="347">
        <v>6.6471351442739135E-2</v>
      </c>
      <c r="Q276" s="347">
        <v>0.16598470690783237</v>
      </c>
      <c r="R276" s="347">
        <v>0.20449104962323569</v>
      </c>
      <c r="S276" s="347">
        <v>0.29653825095462877</v>
      </c>
      <c r="T276" s="347">
        <v>0.30490653321570477</v>
      </c>
      <c r="U276" s="347">
        <v>0.3086032693435577</v>
      </c>
      <c r="V276" s="347">
        <v>0.31120127087185301</v>
      </c>
      <c r="W276" s="347">
        <v>0.31362904078740012</v>
      </c>
      <c r="X276" s="347">
        <v>0.31362904078740012</v>
      </c>
      <c r="Y276" s="381">
        <v>0.31362904078740012</v>
      </c>
      <c r="Z276" s="310">
        <f t="shared" si="132"/>
        <v>9.6034513892549217E-2</v>
      </c>
      <c r="AA276" s="312">
        <f t="shared" si="133"/>
        <v>7.9169743329489783E-2</v>
      </c>
      <c r="AB276" s="950">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1">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6">
        <f t="shared" si="140"/>
        <v>0</v>
      </c>
      <c r="AE276" s="937">
        <f t="shared" ref="AE276" si="141">SUMPRODUCT($B$74:$L$74,B276:L276)</f>
        <v>0.1567370524784025</v>
      </c>
      <c r="AF276" s="937">
        <f t="shared" ref="AF276" si="142">SUMPRODUCT($O$74:$Y$74,O276:Y276)</f>
        <v>9.6034513892549217E-2</v>
      </c>
      <c r="AG276" s="937">
        <f t="shared" ref="AG276" si="143">SUM(AE276:AF276)</f>
        <v>0.25277156637095172</v>
      </c>
      <c r="AH276" s="1172">
        <f t="shared" ref="AH276" si="144">IF(AG276&gt;0,AE276/AG276,0)</f>
        <v>0.62007390597241863</v>
      </c>
      <c r="AI276" s="937">
        <f t="shared" ref="AI276" si="145">IF(AG276&gt;0,AF276/AG276,0)</f>
        <v>0.37992609402758132</v>
      </c>
    </row>
    <row r="277" spans="1:39" x14ac:dyDescent="0.2">
      <c r="B277" s="227" t="str">
        <f>B$120</f>
        <v>Output generated: 8/27/2020 18:37</v>
      </c>
      <c r="O277" s="227" t="str">
        <f>O$120</f>
        <v>Output generated: 8/27/2020 18:37</v>
      </c>
      <c r="AE277" s="937"/>
      <c r="AF277" s="937"/>
      <c r="AG277" s="937"/>
      <c r="AH277" s="937"/>
      <c r="AI277" s="937"/>
    </row>
    <row r="278" spans="1:39" x14ac:dyDescent="0.2">
      <c r="AE278" s="937"/>
      <c r="AF278" s="937"/>
      <c r="AG278" s="937"/>
      <c r="AH278" s="937"/>
      <c r="AI278" s="937"/>
    </row>
    <row r="279" spans="1:39" ht="13.5" thickBot="1" x14ac:dyDescent="0.25">
      <c r="AE279" s="937"/>
      <c r="AF279" s="937"/>
      <c r="AG279" s="937"/>
      <c r="AH279" s="937"/>
      <c r="AI279" s="937"/>
    </row>
    <row r="280" spans="1:39" ht="15" x14ac:dyDescent="0.25">
      <c r="A280" s="333"/>
      <c r="B280" s="1538" t="s">
        <v>259</v>
      </c>
      <c r="C280" s="1539"/>
      <c r="D280" s="1539"/>
      <c r="E280" s="1539"/>
      <c r="F280" s="1539"/>
      <c r="G280" s="1539"/>
      <c r="H280" s="1539"/>
      <c r="I280" s="1539"/>
      <c r="J280" s="1539"/>
      <c r="K280" s="1539"/>
      <c r="L280" s="1539"/>
      <c r="M280" s="1539"/>
      <c r="N280" s="1540"/>
      <c r="O280" s="1538" t="s">
        <v>260</v>
      </c>
      <c r="P280" s="1539"/>
      <c r="Q280" s="1539"/>
      <c r="R280" s="1539"/>
      <c r="S280" s="1539"/>
      <c r="T280" s="1539"/>
      <c r="U280" s="1539"/>
      <c r="V280" s="1539"/>
      <c r="W280" s="1539"/>
      <c r="X280" s="1539"/>
      <c r="Y280" s="1539"/>
      <c r="Z280" s="1539"/>
      <c r="AA280" s="1540"/>
      <c r="AE280" s="937"/>
      <c r="AF280" s="937"/>
      <c r="AG280" s="937"/>
      <c r="AH280" s="937"/>
      <c r="AI280" s="937"/>
    </row>
    <row r="281" spans="1:39" x14ac:dyDescent="0.2">
      <c r="A281" s="324"/>
      <c r="B281" s="1535" t="s">
        <v>121</v>
      </c>
      <c r="C281" s="1536"/>
      <c r="D281" s="1536"/>
      <c r="E281" s="1536"/>
      <c r="F281" s="1536"/>
      <c r="G281" s="1536"/>
      <c r="H281" s="1536"/>
      <c r="I281" s="1536"/>
      <c r="J281" s="1536"/>
      <c r="K281" s="1536"/>
      <c r="L281" s="1536"/>
      <c r="M281" s="382"/>
      <c r="N281" s="325"/>
      <c r="O281" s="1535" t="s">
        <v>121</v>
      </c>
      <c r="P281" s="1536"/>
      <c r="Q281" s="1536"/>
      <c r="R281" s="1536"/>
      <c r="S281" s="1536"/>
      <c r="T281" s="1536"/>
      <c r="U281" s="1536"/>
      <c r="V281" s="1536"/>
      <c r="W281" s="1536"/>
      <c r="X281" s="1536"/>
      <c r="Y281" s="1536"/>
      <c r="Z281" s="382"/>
      <c r="AA281" s="325"/>
      <c r="AC281" s="954" t="s">
        <v>267</v>
      </c>
      <c r="AD281" s="234" t="b">
        <f>INDEX(TECH_OPT_FUEL2_Cls2,MATCH(RIGHT(O280),TECH_OPT_ROWS_Cls2,0))&lt;&gt;"N/A"</f>
        <v>0</v>
      </c>
      <c r="AE281" s="937"/>
      <c r="AF281" s="937"/>
      <c r="AG281" s="937"/>
      <c r="AH281" s="937"/>
      <c r="AI281" s="937"/>
    </row>
    <row r="282" spans="1:39" ht="13.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MATCH(RIGHT(O280),TECH_OPT_ROWS_Cls2,0)</f>
        <v>6</v>
      </c>
      <c r="AE282" s="937"/>
      <c r="AF282" s="937"/>
      <c r="AG282" s="937"/>
      <c r="AH282" s="937"/>
      <c r="AI282" s="937"/>
    </row>
    <row r="283" spans="1:39" ht="14.25"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09">
        <v>5.2963907111801883E-3</v>
      </c>
      <c r="Z283" s="1214"/>
      <c r="AA283" s="1215"/>
    </row>
    <row r="284" spans="1:39" x14ac:dyDescent="0.2">
      <c r="A284" s="331" t="s">
        <v>125</v>
      </c>
      <c r="B284" s="923">
        <f t="array" ref="B284:L284">TRANSPOSE(Cls2CentVMTShr)</f>
        <v>6.3375455551975849E-3</v>
      </c>
      <c r="C284" s="924">
        <v>3.496913005496359E-2</v>
      </c>
      <c r="D284" s="924">
        <v>5.9955127131675522E-2</v>
      </c>
      <c r="E284" s="924">
        <v>8.4599669387910512E-2</v>
      </c>
      <c r="F284" s="924">
        <v>0.12702701008436962</v>
      </c>
      <c r="G284" s="924">
        <v>6.7204731283582092E-2</v>
      </c>
      <c r="H284" s="924">
        <v>8.8708982453757024E-2</v>
      </c>
      <c r="I284" s="924">
        <v>6.4694225377098208E-2</v>
      </c>
      <c r="J284" s="924">
        <v>3.2526447027526634E-2</v>
      </c>
      <c r="K284" s="924">
        <v>1.589064319454132E-2</v>
      </c>
      <c r="L284" s="1210">
        <v>3.2608183213810787E-2</v>
      </c>
      <c r="M284" s="1211"/>
      <c r="N284" s="1212"/>
      <c r="O284" s="923">
        <f t="array" ref="O284:Y284">TRANSPOSE(Cls2NCentVMTShr)</f>
        <v>8.1228463417563086E-3</v>
      </c>
      <c r="P284" s="924">
        <v>2.7563836768431361E-2</v>
      </c>
      <c r="Q284" s="924">
        <v>4.1883113088337191E-2</v>
      </c>
      <c r="R284" s="924">
        <v>6.4289357588678764E-2</v>
      </c>
      <c r="S284" s="924">
        <v>9.1183275251204537E-2</v>
      </c>
      <c r="T284" s="924">
        <v>5.1984283219922628E-2</v>
      </c>
      <c r="U284" s="924">
        <v>5.0286059545109812E-2</v>
      </c>
      <c r="V284" s="924">
        <v>1.5542287574292338E-2</v>
      </c>
      <c r="W284" s="924">
        <v>1.4506257462625264E-2</v>
      </c>
      <c r="X284" s="924">
        <v>4.9330966304706684E-3</v>
      </c>
      <c r="Y284" s="925">
        <v>1.5183891764738403E-2</v>
      </c>
      <c r="Z284" s="1211"/>
      <c r="AA284" s="1212"/>
      <c r="AB284" s="1551" t="str">
        <f>"% of miles on f2 for Tech "&amp; RIGHT(O279)&amp;" adopters"</f>
        <v>% of miles on f2 for Tech  adopters</v>
      </c>
      <c r="AC284" s="1552"/>
      <c r="AD284" s="1553"/>
      <c r="AE284" s="937" t="s">
        <v>300</v>
      </c>
      <c r="AF284" s="937"/>
      <c r="AG284" s="937"/>
      <c r="AH284" s="1172" t="s">
        <v>299</v>
      </c>
      <c r="AI284" s="937"/>
    </row>
    <row r="285" spans="1:39" ht="13.5" thickBot="1" x14ac:dyDescent="0.25">
      <c r="A285" s="942" t="s">
        <v>266</v>
      </c>
      <c r="B285" s="933">
        <f t="array" ref="B285:L285">TRANSPOSE(Cls2CentVMT/OPDAYS_Cls2)</f>
        <v>49.332453271995263</v>
      </c>
      <c r="C285" s="934">
        <v>120.11441047790339</v>
      </c>
      <c r="D285" s="934">
        <v>200.99157969807086</v>
      </c>
      <c r="E285" s="934">
        <v>280.98421424125928</v>
      </c>
      <c r="F285" s="934">
        <v>358.20644524895255</v>
      </c>
      <c r="G285" s="934">
        <v>432.82805471770689</v>
      </c>
      <c r="H285" s="934">
        <v>517.10615118099815</v>
      </c>
      <c r="I285" s="934">
        <v>597.8087063838957</v>
      </c>
      <c r="J285" s="934">
        <v>676.93419409560215</v>
      </c>
      <c r="K285" s="934">
        <v>746.82245226325631</v>
      </c>
      <c r="L285" s="935">
        <v>895.92826380844349</v>
      </c>
      <c r="M285" s="931"/>
      <c r="N285" s="932"/>
      <c r="O285" s="933">
        <f t="array" ref="O285:Y285">TRANSPOSE(Cls2NCentVMT/OPDAYS_Cls2)</f>
        <v>54.31462614952413</v>
      </c>
      <c r="P285" s="934">
        <v>126.62311644744663</v>
      </c>
      <c r="Q285" s="934">
        <v>206.96826351576016</v>
      </c>
      <c r="R285" s="934">
        <v>286.46600131499179</v>
      </c>
      <c r="S285" s="934">
        <v>358.9638908170715</v>
      </c>
      <c r="T285" s="934">
        <v>450.55545819643328</v>
      </c>
      <c r="U285" s="934">
        <v>511.93098482414172</v>
      </c>
      <c r="V285" s="934">
        <v>579.22933632093111</v>
      </c>
      <c r="W285" s="934">
        <v>695.25665569614875</v>
      </c>
      <c r="X285" s="934">
        <v>759.80682330760794</v>
      </c>
      <c r="Y285" s="1213">
        <v>882.81167173661356</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row>
    <row r="286" spans="1:39" ht="13.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8">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49">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6">
        <f>AB286*AH286+AC286*AI286</f>
        <v>0</v>
      </c>
      <c r="AE286" s="937">
        <f t="shared" ref="AE286:AE300" si="146">SUMPRODUCT($B$74:$L$74,B286:L286)</f>
        <v>0</v>
      </c>
      <c r="AF286" s="937">
        <f t="shared" ref="AF286:AF300" si="147">SUMPRODUCT($O$74:$Y$74,O286:Y286)</f>
        <v>0</v>
      </c>
      <c r="AG286" s="937">
        <f t="shared" ref="AG286:AG300" si="148">SUM(AE286:AF286)</f>
        <v>0</v>
      </c>
      <c r="AH286" s="1172">
        <f>IF(AG286&gt;0,AE286/AG286,0)</f>
        <v>0</v>
      </c>
      <c r="AI286" s="937">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8">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49">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6">
        <f t="shared" ref="AD287:AD311" si="153">AB287*AH287+AC287*AI287</f>
        <v>0</v>
      </c>
      <c r="AE287" s="937">
        <f t="shared" si="146"/>
        <v>0</v>
      </c>
      <c r="AF287" s="937">
        <f t="shared" si="147"/>
        <v>0</v>
      </c>
      <c r="AG287" s="937">
        <f t="shared" si="148"/>
        <v>0</v>
      </c>
      <c r="AH287" s="1172">
        <f t="shared" ref="AH287:AH328" si="154">IF(AG287&gt;0,AE287/AG287,0)</f>
        <v>0</v>
      </c>
      <c r="AI287" s="937">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8">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49">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6">
        <f t="shared" si="153"/>
        <v>0</v>
      </c>
      <c r="AE288" s="937">
        <f t="shared" si="146"/>
        <v>0</v>
      </c>
      <c r="AF288" s="937">
        <f t="shared" si="147"/>
        <v>0</v>
      </c>
      <c r="AG288" s="937">
        <f t="shared" si="148"/>
        <v>0</v>
      </c>
      <c r="AH288" s="1172">
        <f t="shared" si="154"/>
        <v>0</v>
      </c>
      <c r="AI288" s="937">
        <f t="shared" si="155"/>
        <v>0</v>
      </c>
    </row>
    <row r="289" spans="1:35" ht="13.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8">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49">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6">
        <f t="shared" si="153"/>
        <v>0</v>
      </c>
      <c r="AE289" s="937">
        <f t="shared" si="146"/>
        <v>0</v>
      </c>
      <c r="AF289" s="937">
        <f t="shared" si="147"/>
        <v>0</v>
      </c>
      <c r="AG289" s="937">
        <f t="shared" si="148"/>
        <v>0</v>
      </c>
      <c r="AH289" s="1172">
        <f t="shared" si="154"/>
        <v>0</v>
      </c>
      <c r="AI289" s="937">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8">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49">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6">
        <f t="shared" si="153"/>
        <v>0</v>
      </c>
      <c r="AE290" s="937">
        <f t="shared" si="146"/>
        <v>0</v>
      </c>
      <c r="AF290" s="937">
        <f t="shared" si="147"/>
        <v>0</v>
      </c>
      <c r="AG290" s="937">
        <f t="shared" si="148"/>
        <v>0</v>
      </c>
      <c r="AH290" s="1172">
        <f t="shared" si="154"/>
        <v>0</v>
      </c>
      <c r="AI290" s="937">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8">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49">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6">
        <f t="shared" si="153"/>
        <v>0</v>
      </c>
      <c r="AE291" s="937">
        <f t="shared" si="146"/>
        <v>0</v>
      </c>
      <c r="AF291" s="937">
        <f t="shared" si="147"/>
        <v>0</v>
      </c>
      <c r="AG291" s="937">
        <f t="shared" si="148"/>
        <v>0</v>
      </c>
      <c r="AH291" s="1172">
        <f t="shared" si="154"/>
        <v>0</v>
      </c>
      <c r="AI291" s="937">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8">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49">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6">
        <f t="shared" si="153"/>
        <v>0</v>
      </c>
      <c r="AE292" s="937">
        <f t="shared" si="146"/>
        <v>0</v>
      </c>
      <c r="AF292" s="937">
        <f t="shared" si="147"/>
        <v>0</v>
      </c>
      <c r="AG292" s="937">
        <f t="shared" si="148"/>
        <v>0</v>
      </c>
      <c r="AH292" s="1172">
        <f t="shared" si="154"/>
        <v>0</v>
      </c>
      <c r="AI292" s="937">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8">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49">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6">
        <f t="shared" si="153"/>
        <v>0</v>
      </c>
      <c r="AE293" s="937">
        <f t="shared" si="146"/>
        <v>0</v>
      </c>
      <c r="AF293" s="937">
        <f t="shared" si="147"/>
        <v>0</v>
      </c>
      <c r="AG293" s="937">
        <f t="shared" si="148"/>
        <v>0</v>
      </c>
      <c r="AH293" s="1172">
        <f t="shared" si="154"/>
        <v>0</v>
      </c>
      <c r="AI293" s="937">
        <f t="shared" si="155"/>
        <v>0</v>
      </c>
    </row>
    <row r="294" spans="1:35" ht="13.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8">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49">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6">
        <f t="shared" si="153"/>
        <v>0</v>
      </c>
      <c r="AE294" s="937">
        <f t="shared" si="146"/>
        <v>0</v>
      </c>
      <c r="AF294" s="937">
        <f t="shared" si="147"/>
        <v>0</v>
      </c>
      <c r="AG294" s="937">
        <f t="shared" si="148"/>
        <v>0</v>
      </c>
      <c r="AH294" s="1172">
        <f t="shared" si="154"/>
        <v>0</v>
      </c>
      <c r="AI294" s="937">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8">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49">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6">
        <f t="shared" si="153"/>
        <v>0</v>
      </c>
      <c r="AE295" s="937">
        <f t="shared" si="146"/>
        <v>0</v>
      </c>
      <c r="AF295" s="937">
        <f t="shared" si="147"/>
        <v>0</v>
      </c>
      <c r="AG295" s="937">
        <f t="shared" si="148"/>
        <v>0</v>
      </c>
      <c r="AH295" s="1172">
        <f t="shared" si="154"/>
        <v>0</v>
      </c>
      <c r="AI295" s="937">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8">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49">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6">
        <f t="shared" si="153"/>
        <v>0</v>
      </c>
      <c r="AE296" s="937">
        <f t="shared" si="146"/>
        <v>0</v>
      </c>
      <c r="AF296" s="937">
        <f t="shared" si="147"/>
        <v>0</v>
      </c>
      <c r="AG296" s="937">
        <f t="shared" si="148"/>
        <v>0</v>
      </c>
      <c r="AH296" s="1172">
        <f t="shared" si="154"/>
        <v>0</v>
      </c>
      <c r="AI296" s="937">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8">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49">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6">
        <f t="shared" si="153"/>
        <v>0</v>
      </c>
      <c r="AE297" s="937">
        <f t="shared" si="146"/>
        <v>0</v>
      </c>
      <c r="AF297" s="937">
        <f t="shared" si="147"/>
        <v>0</v>
      </c>
      <c r="AG297" s="937">
        <f t="shared" si="148"/>
        <v>0</v>
      </c>
      <c r="AH297" s="1172">
        <f t="shared" si="154"/>
        <v>0</v>
      </c>
      <c r="AI297" s="937">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8">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49">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6">
        <f t="shared" si="153"/>
        <v>0</v>
      </c>
      <c r="AE298" s="937">
        <f t="shared" si="146"/>
        <v>0</v>
      </c>
      <c r="AF298" s="937">
        <f t="shared" si="147"/>
        <v>0</v>
      </c>
      <c r="AG298" s="937">
        <f t="shared" si="148"/>
        <v>0</v>
      </c>
      <c r="AH298" s="1172">
        <f t="shared" si="154"/>
        <v>0</v>
      </c>
      <c r="AI298" s="937">
        <f t="shared" si="155"/>
        <v>0</v>
      </c>
    </row>
    <row r="299" spans="1:35" ht="13.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8">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49">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6">
        <f t="shared" si="153"/>
        <v>0</v>
      </c>
      <c r="AE299" s="937">
        <f t="shared" si="146"/>
        <v>0</v>
      </c>
      <c r="AF299" s="937">
        <f t="shared" si="147"/>
        <v>0</v>
      </c>
      <c r="AG299" s="937">
        <f t="shared" si="148"/>
        <v>0</v>
      </c>
      <c r="AH299" s="1172">
        <f t="shared" si="154"/>
        <v>0</v>
      </c>
      <c r="AI299" s="937">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8">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49">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6">
        <f t="shared" si="153"/>
        <v>0</v>
      </c>
      <c r="AE300" s="937">
        <f t="shared" si="146"/>
        <v>0</v>
      </c>
      <c r="AF300" s="937">
        <f t="shared" si="147"/>
        <v>0</v>
      </c>
      <c r="AG300" s="937">
        <f t="shared" si="148"/>
        <v>0</v>
      </c>
      <c r="AH300" s="1172">
        <f t="shared" si="154"/>
        <v>0</v>
      </c>
      <c r="AI300" s="937">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8">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49">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6">
        <f t="shared" si="153"/>
        <v>0</v>
      </c>
      <c r="AE301" s="937">
        <f>SUMPRODUCT($B$74:$L$74,B301:L301)</f>
        <v>0</v>
      </c>
      <c r="AF301" s="937">
        <f>SUMPRODUCT($O$74:$Y$74,O301:Y301)</f>
        <v>0</v>
      </c>
      <c r="AG301" s="937">
        <f>SUM(AE301:AF301)</f>
        <v>0</v>
      </c>
      <c r="AH301" s="1172">
        <f t="shared" si="154"/>
        <v>0</v>
      </c>
      <c r="AI301" s="937">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8">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49">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6">
        <f t="shared" si="153"/>
        <v>0</v>
      </c>
      <c r="AE302" s="937">
        <f t="shared" ref="AE302:AE328" si="156">SUMPRODUCT($B$74:$L$74,B302:L302)</f>
        <v>0</v>
      </c>
      <c r="AF302" s="937">
        <f t="shared" ref="AF302:AF328" si="157">SUMPRODUCT($O$74:$Y$74,O302:Y302)</f>
        <v>0</v>
      </c>
      <c r="AG302" s="937">
        <f t="shared" ref="AG302:AG328" si="158">SUM(AE302:AF302)</f>
        <v>0</v>
      </c>
      <c r="AH302" s="1172">
        <f t="shared" si="154"/>
        <v>0</v>
      </c>
      <c r="AI302" s="937">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8">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49">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6">
        <f t="shared" si="153"/>
        <v>0</v>
      </c>
      <c r="AE303" s="937">
        <f t="shared" si="156"/>
        <v>0</v>
      </c>
      <c r="AF303" s="937">
        <f t="shared" si="157"/>
        <v>0</v>
      </c>
      <c r="AG303" s="937">
        <f t="shared" si="158"/>
        <v>0</v>
      </c>
      <c r="AH303" s="1172">
        <f t="shared" si="154"/>
        <v>0</v>
      </c>
      <c r="AI303" s="937">
        <f t="shared" si="155"/>
        <v>0</v>
      </c>
    </row>
    <row r="304" spans="1:35" ht="13.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8">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49">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6">
        <f t="shared" si="153"/>
        <v>0</v>
      </c>
      <c r="AE304" s="937">
        <f t="shared" si="156"/>
        <v>0</v>
      </c>
      <c r="AF304" s="937">
        <f t="shared" si="157"/>
        <v>0</v>
      </c>
      <c r="AG304" s="937">
        <f t="shared" si="158"/>
        <v>0</v>
      </c>
      <c r="AH304" s="1172">
        <f t="shared" si="154"/>
        <v>0</v>
      </c>
      <c r="AI304" s="937">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8">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49">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6">
        <f t="shared" si="153"/>
        <v>0</v>
      </c>
      <c r="AE305" s="937">
        <f t="shared" si="156"/>
        <v>0</v>
      </c>
      <c r="AF305" s="937">
        <f t="shared" si="157"/>
        <v>0</v>
      </c>
      <c r="AG305" s="937">
        <f t="shared" si="158"/>
        <v>0</v>
      </c>
      <c r="AH305" s="1172">
        <f t="shared" si="154"/>
        <v>0</v>
      </c>
      <c r="AI305" s="937">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8">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49">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6">
        <f t="shared" si="153"/>
        <v>0</v>
      </c>
      <c r="AE306" s="937">
        <f t="shared" si="156"/>
        <v>0</v>
      </c>
      <c r="AF306" s="937">
        <f t="shared" si="157"/>
        <v>0</v>
      </c>
      <c r="AG306" s="937">
        <f t="shared" si="158"/>
        <v>0</v>
      </c>
      <c r="AH306" s="1172">
        <f t="shared" si="154"/>
        <v>0</v>
      </c>
      <c r="AI306" s="937">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8">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49">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6">
        <f t="shared" si="153"/>
        <v>0</v>
      </c>
      <c r="AE307" s="937">
        <f t="shared" si="156"/>
        <v>0</v>
      </c>
      <c r="AF307" s="937">
        <f t="shared" si="157"/>
        <v>0</v>
      </c>
      <c r="AG307" s="937">
        <f t="shared" si="158"/>
        <v>0</v>
      </c>
      <c r="AH307" s="1172">
        <f t="shared" si="154"/>
        <v>0</v>
      </c>
      <c r="AI307" s="937">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8">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49">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6">
        <f t="shared" si="153"/>
        <v>0</v>
      </c>
      <c r="AE308" s="937">
        <f t="shared" si="156"/>
        <v>0</v>
      </c>
      <c r="AF308" s="937">
        <f t="shared" si="157"/>
        <v>0</v>
      </c>
      <c r="AG308" s="937">
        <f t="shared" si="158"/>
        <v>0</v>
      </c>
      <c r="AH308" s="1172">
        <f t="shared" si="154"/>
        <v>0</v>
      </c>
      <c r="AI308" s="937">
        <f t="shared" si="155"/>
        <v>0</v>
      </c>
    </row>
    <row r="309" spans="1:35" ht="13.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8">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49">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6">
        <f t="shared" si="153"/>
        <v>0</v>
      </c>
      <c r="AE309" s="937">
        <f t="shared" si="156"/>
        <v>0</v>
      </c>
      <c r="AF309" s="937">
        <f t="shared" si="157"/>
        <v>0</v>
      </c>
      <c r="AG309" s="937">
        <f t="shared" si="158"/>
        <v>0</v>
      </c>
      <c r="AH309" s="1172">
        <f t="shared" si="154"/>
        <v>0</v>
      </c>
      <c r="AI309" s="937">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8">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49">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6">
        <f t="shared" si="153"/>
        <v>0</v>
      </c>
      <c r="AE310" s="937">
        <f t="shared" si="156"/>
        <v>0</v>
      </c>
      <c r="AF310" s="937">
        <f t="shared" si="157"/>
        <v>0</v>
      </c>
      <c r="AG310" s="937">
        <f t="shared" si="158"/>
        <v>0</v>
      </c>
      <c r="AH310" s="1172">
        <f t="shared" si="154"/>
        <v>0</v>
      </c>
      <c r="AI310" s="937">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8">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49">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6">
        <f t="shared" si="153"/>
        <v>0</v>
      </c>
      <c r="AE311" s="937">
        <f t="shared" si="156"/>
        <v>0</v>
      </c>
      <c r="AF311" s="937">
        <f t="shared" si="157"/>
        <v>0</v>
      </c>
      <c r="AG311" s="937">
        <f t="shared" si="158"/>
        <v>0</v>
      </c>
      <c r="AH311" s="1172">
        <f t="shared" si="154"/>
        <v>0</v>
      </c>
      <c r="AI311" s="937">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8">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49">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6">
        <f>AB312*AH312+AC312*AI312</f>
        <v>0</v>
      </c>
      <c r="AE312" s="937">
        <f t="shared" si="156"/>
        <v>0</v>
      </c>
      <c r="AF312" s="937">
        <f t="shared" si="157"/>
        <v>0</v>
      </c>
      <c r="AG312" s="937">
        <f t="shared" si="158"/>
        <v>0</v>
      </c>
      <c r="AH312" s="1172">
        <f t="shared" si="154"/>
        <v>0</v>
      </c>
      <c r="AI312" s="937">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8">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49">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6">
        <f t="shared" ref="AD313:AD329" si="159">AB313*AH313+AC313*AI313</f>
        <v>0</v>
      </c>
      <c r="AE313" s="937">
        <f t="shared" si="156"/>
        <v>0</v>
      </c>
      <c r="AF313" s="937">
        <f t="shared" si="157"/>
        <v>0</v>
      </c>
      <c r="AG313" s="937">
        <f t="shared" si="158"/>
        <v>0</v>
      </c>
      <c r="AH313" s="1172">
        <f t="shared" si="154"/>
        <v>0</v>
      </c>
      <c r="AI313" s="937">
        <f t="shared" si="155"/>
        <v>0</v>
      </c>
    </row>
    <row r="314" spans="1:35" ht="13.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8">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49">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6">
        <f t="shared" si="159"/>
        <v>0</v>
      </c>
      <c r="AE314" s="937">
        <f t="shared" si="156"/>
        <v>0</v>
      </c>
      <c r="AF314" s="937">
        <f t="shared" si="157"/>
        <v>0</v>
      </c>
      <c r="AG314" s="937">
        <f t="shared" si="158"/>
        <v>0</v>
      </c>
      <c r="AH314" s="1172">
        <f t="shared" si="154"/>
        <v>0</v>
      </c>
      <c r="AI314" s="937">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0</v>
      </c>
      <c r="T315" s="343">
        <v>0</v>
      </c>
      <c r="U315" s="343">
        <v>0</v>
      </c>
      <c r="V315" s="343">
        <v>0</v>
      </c>
      <c r="W315" s="343">
        <v>0</v>
      </c>
      <c r="X315" s="343">
        <v>0</v>
      </c>
      <c r="Y315" s="379">
        <v>0</v>
      </c>
      <c r="Z315" s="282">
        <f t="shared" si="151"/>
        <v>0</v>
      </c>
      <c r="AA315" s="284">
        <f t="shared" si="152"/>
        <v>0</v>
      </c>
      <c r="AB315" s="948">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49">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6">
        <f t="shared" si="159"/>
        <v>0</v>
      </c>
      <c r="AE315" s="937">
        <f t="shared" si="156"/>
        <v>0</v>
      </c>
      <c r="AF315" s="937">
        <f t="shared" si="157"/>
        <v>0</v>
      </c>
      <c r="AG315" s="937">
        <f t="shared" si="158"/>
        <v>0</v>
      </c>
      <c r="AH315" s="1172">
        <f t="shared" si="154"/>
        <v>0</v>
      </c>
      <c r="AI315" s="937">
        <f t="shared" si="15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49"/>
        <v>0</v>
      </c>
      <c r="N316" s="298">
        <f t="shared" si="150"/>
        <v>0</v>
      </c>
      <c r="O316" s="344">
        <v>0</v>
      </c>
      <c r="P316" s="345">
        <v>0</v>
      </c>
      <c r="Q316" s="345">
        <v>0</v>
      </c>
      <c r="R316" s="345">
        <v>0</v>
      </c>
      <c r="S316" s="345">
        <v>0</v>
      </c>
      <c r="T316" s="345">
        <v>0</v>
      </c>
      <c r="U316" s="345">
        <v>0</v>
      </c>
      <c r="V316" s="345">
        <v>0</v>
      </c>
      <c r="W316" s="345">
        <v>0</v>
      </c>
      <c r="X316" s="345">
        <v>0</v>
      </c>
      <c r="Y316" s="380">
        <v>0</v>
      </c>
      <c r="Z316" s="296">
        <f t="shared" si="151"/>
        <v>0</v>
      </c>
      <c r="AA316" s="298">
        <f t="shared" si="152"/>
        <v>0</v>
      </c>
      <c r="AB316" s="948">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49">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6">
        <f t="shared" si="159"/>
        <v>0</v>
      </c>
      <c r="AE316" s="937">
        <f t="shared" si="156"/>
        <v>0</v>
      </c>
      <c r="AF316" s="937">
        <f t="shared" si="157"/>
        <v>0</v>
      </c>
      <c r="AG316" s="937">
        <f t="shared" si="158"/>
        <v>0</v>
      </c>
      <c r="AH316" s="1172">
        <f t="shared" si="154"/>
        <v>0</v>
      </c>
      <c r="AI316" s="937">
        <f t="shared" si="15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49"/>
        <v>0</v>
      </c>
      <c r="N317" s="298">
        <f t="shared" si="150"/>
        <v>0</v>
      </c>
      <c r="O317" s="344">
        <v>0</v>
      </c>
      <c r="P317" s="345">
        <v>0</v>
      </c>
      <c r="Q317" s="345">
        <v>0</v>
      </c>
      <c r="R317" s="345">
        <v>0</v>
      </c>
      <c r="S317" s="345">
        <v>0</v>
      </c>
      <c r="T317" s="345">
        <v>0</v>
      </c>
      <c r="U317" s="345">
        <v>0</v>
      </c>
      <c r="V317" s="345">
        <v>0</v>
      </c>
      <c r="W317" s="345">
        <v>0</v>
      </c>
      <c r="X317" s="345">
        <v>0</v>
      </c>
      <c r="Y317" s="380">
        <v>0</v>
      </c>
      <c r="Z317" s="296">
        <f t="shared" si="151"/>
        <v>0</v>
      </c>
      <c r="AA317" s="298">
        <f t="shared" si="152"/>
        <v>0</v>
      </c>
      <c r="AB317" s="948">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49">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6">
        <f t="shared" si="159"/>
        <v>0</v>
      </c>
      <c r="AE317" s="937">
        <f t="shared" si="156"/>
        <v>0</v>
      </c>
      <c r="AF317" s="937">
        <f t="shared" si="157"/>
        <v>0</v>
      </c>
      <c r="AG317" s="937">
        <f t="shared" si="158"/>
        <v>0</v>
      </c>
      <c r="AH317" s="1172">
        <f t="shared" si="154"/>
        <v>0</v>
      </c>
      <c r="AI317" s="937">
        <f t="shared" si="15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49"/>
        <v>0</v>
      </c>
      <c r="N318" s="298">
        <f t="shared" si="150"/>
        <v>0</v>
      </c>
      <c r="O318" s="344">
        <v>0</v>
      </c>
      <c r="P318" s="345">
        <v>0</v>
      </c>
      <c r="Q318" s="345">
        <v>0</v>
      </c>
      <c r="R318" s="345">
        <v>0</v>
      </c>
      <c r="S318" s="345">
        <v>0</v>
      </c>
      <c r="T318" s="345">
        <v>0</v>
      </c>
      <c r="U318" s="345">
        <v>0</v>
      </c>
      <c r="V318" s="345">
        <v>0</v>
      </c>
      <c r="W318" s="345">
        <v>0</v>
      </c>
      <c r="X318" s="345">
        <v>0</v>
      </c>
      <c r="Y318" s="380">
        <v>0</v>
      </c>
      <c r="Z318" s="296">
        <f t="shared" si="151"/>
        <v>0</v>
      </c>
      <c r="AA318" s="298">
        <f t="shared" si="152"/>
        <v>0</v>
      </c>
      <c r="AB318" s="948">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49">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6">
        <f t="shared" si="159"/>
        <v>0</v>
      </c>
      <c r="AE318" s="937">
        <f t="shared" si="156"/>
        <v>0</v>
      </c>
      <c r="AF318" s="937">
        <f t="shared" si="157"/>
        <v>0</v>
      </c>
      <c r="AG318" s="937">
        <f t="shared" si="158"/>
        <v>0</v>
      </c>
      <c r="AH318" s="1172">
        <f t="shared" si="154"/>
        <v>0</v>
      </c>
      <c r="AI318" s="937">
        <f t="shared" si="155"/>
        <v>0</v>
      </c>
    </row>
    <row r="319" spans="1:35" ht="13.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49"/>
        <v>0</v>
      </c>
      <c r="N319" s="312">
        <f t="shared" si="150"/>
        <v>0</v>
      </c>
      <c r="O319" s="346">
        <v>0</v>
      </c>
      <c r="P319" s="347">
        <v>0</v>
      </c>
      <c r="Q319" s="347">
        <v>0</v>
      </c>
      <c r="R319" s="347">
        <v>0</v>
      </c>
      <c r="S319" s="347">
        <v>0</v>
      </c>
      <c r="T319" s="347">
        <v>0</v>
      </c>
      <c r="U319" s="347">
        <v>0</v>
      </c>
      <c r="V319" s="347">
        <v>0</v>
      </c>
      <c r="W319" s="347">
        <v>0</v>
      </c>
      <c r="X319" s="347">
        <v>0</v>
      </c>
      <c r="Y319" s="381">
        <v>0</v>
      </c>
      <c r="Z319" s="310">
        <f t="shared" si="151"/>
        <v>0</v>
      </c>
      <c r="AA319" s="312">
        <f t="shared" si="152"/>
        <v>0</v>
      </c>
      <c r="AB319" s="948">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49">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6">
        <f t="shared" si="159"/>
        <v>0</v>
      </c>
      <c r="AE319" s="937">
        <f t="shared" si="156"/>
        <v>0</v>
      </c>
      <c r="AF319" s="937">
        <f t="shared" si="157"/>
        <v>0</v>
      </c>
      <c r="AG319" s="937">
        <f t="shared" si="158"/>
        <v>0</v>
      </c>
      <c r="AH319" s="1172">
        <f t="shared" si="154"/>
        <v>0</v>
      </c>
      <c r="AI319" s="937">
        <f t="shared" si="15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49"/>
        <v>0</v>
      </c>
      <c r="N320" s="284">
        <f t="shared" si="150"/>
        <v>0</v>
      </c>
      <c r="O320" s="342">
        <v>0</v>
      </c>
      <c r="P320" s="343">
        <v>0</v>
      </c>
      <c r="Q320" s="343">
        <v>0</v>
      </c>
      <c r="R320" s="343">
        <v>0</v>
      </c>
      <c r="S320" s="343">
        <v>0</v>
      </c>
      <c r="T320" s="343">
        <v>0</v>
      </c>
      <c r="U320" s="343">
        <v>0</v>
      </c>
      <c r="V320" s="343">
        <v>0</v>
      </c>
      <c r="W320" s="343">
        <v>0</v>
      </c>
      <c r="X320" s="343">
        <v>0</v>
      </c>
      <c r="Y320" s="379">
        <v>0</v>
      </c>
      <c r="Z320" s="282">
        <f t="shared" si="151"/>
        <v>0</v>
      </c>
      <c r="AA320" s="284">
        <f t="shared" si="152"/>
        <v>0</v>
      </c>
      <c r="AB320" s="948">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49">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6">
        <f t="shared" si="159"/>
        <v>0</v>
      </c>
      <c r="AE320" s="937">
        <f t="shared" si="156"/>
        <v>0</v>
      </c>
      <c r="AF320" s="937">
        <f t="shared" si="157"/>
        <v>0</v>
      </c>
      <c r="AG320" s="937">
        <f t="shared" si="158"/>
        <v>0</v>
      </c>
      <c r="AH320" s="1172">
        <f t="shared" si="154"/>
        <v>0</v>
      </c>
      <c r="AI320" s="937">
        <f t="shared" si="15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49"/>
        <v>0</v>
      </c>
      <c r="N321" s="298">
        <f t="shared" si="150"/>
        <v>0</v>
      </c>
      <c r="O321" s="344">
        <v>0</v>
      </c>
      <c r="P321" s="345">
        <v>0</v>
      </c>
      <c r="Q321" s="345">
        <v>0</v>
      </c>
      <c r="R321" s="345">
        <v>0</v>
      </c>
      <c r="S321" s="345">
        <v>0</v>
      </c>
      <c r="T321" s="345">
        <v>0</v>
      </c>
      <c r="U321" s="345">
        <v>0</v>
      </c>
      <c r="V321" s="345">
        <v>0</v>
      </c>
      <c r="W321" s="345">
        <v>0</v>
      </c>
      <c r="X321" s="345">
        <v>0</v>
      </c>
      <c r="Y321" s="380">
        <v>0</v>
      </c>
      <c r="Z321" s="296">
        <f t="shared" si="151"/>
        <v>0</v>
      </c>
      <c r="AA321" s="298">
        <f t="shared" si="152"/>
        <v>0</v>
      </c>
      <c r="AB321" s="948">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49">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6">
        <f t="shared" si="159"/>
        <v>0</v>
      </c>
      <c r="AE321" s="937">
        <f t="shared" si="156"/>
        <v>0</v>
      </c>
      <c r="AF321" s="937">
        <f t="shared" si="157"/>
        <v>0</v>
      </c>
      <c r="AG321" s="937">
        <f t="shared" si="158"/>
        <v>0</v>
      </c>
      <c r="AH321" s="1172">
        <f t="shared" si="154"/>
        <v>0</v>
      </c>
      <c r="AI321" s="937">
        <f t="shared" si="15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49"/>
        <v>0</v>
      </c>
      <c r="N322" s="298">
        <f t="shared" si="150"/>
        <v>0</v>
      </c>
      <c r="O322" s="344">
        <v>0</v>
      </c>
      <c r="P322" s="345">
        <v>0</v>
      </c>
      <c r="Q322" s="345">
        <v>0</v>
      </c>
      <c r="R322" s="345">
        <v>0</v>
      </c>
      <c r="S322" s="345">
        <v>0</v>
      </c>
      <c r="T322" s="345">
        <v>0</v>
      </c>
      <c r="U322" s="345">
        <v>0</v>
      </c>
      <c r="V322" s="345">
        <v>0</v>
      </c>
      <c r="W322" s="345">
        <v>0</v>
      </c>
      <c r="X322" s="345">
        <v>0</v>
      </c>
      <c r="Y322" s="380">
        <v>0</v>
      </c>
      <c r="Z322" s="296">
        <f t="shared" si="151"/>
        <v>0</v>
      </c>
      <c r="AA322" s="298">
        <f t="shared" si="152"/>
        <v>0</v>
      </c>
      <c r="AB322" s="948">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49">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6">
        <f t="shared" si="159"/>
        <v>0</v>
      </c>
      <c r="AE322" s="937">
        <f t="shared" si="156"/>
        <v>0</v>
      </c>
      <c r="AF322" s="937">
        <f t="shared" si="157"/>
        <v>0</v>
      </c>
      <c r="AG322" s="937">
        <f t="shared" si="158"/>
        <v>0</v>
      </c>
      <c r="AH322" s="1172">
        <f t="shared" si="154"/>
        <v>0</v>
      </c>
      <c r="AI322" s="937">
        <f t="shared" si="15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49"/>
        <v>0</v>
      </c>
      <c r="N323" s="298">
        <f t="shared" si="150"/>
        <v>0</v>
      </c>
      <c r="O323" s="344">
        <v>0</v>
      </c>
      <c r="P323" s="345">
        <v>0</v>
      </c>
      <c r="Q323" s="345">
        <v>0</v>
      </c>
      <c r="R323" s="345">
        <v>0</v>
      </c>
      <c r="S323" s="345">
        <v>0</v>
      </c>
      <c r="T323" s="345">
        <v>0</v>
      </c>
      <c r="U323" s="345">
        <v>0</v>
      </c>
      <c r="V323" s="345">
        <v>0</v>
      </c>
      <c r="W323" s="345">
        <v>0</v>
      </c>
      <c r="X323" s="345">
        <v>0</v>
      </c>
      <c r="Y323" s="380">
        <v>0</v>
      </c>
      <c r="Z323" s="296">
        <f t="shared" si="151"/>
        <v>0</v>
      </c>
      <c r="AA323" s="298">
        <f t="shared" si="152"/>
        <v>0</v>
      </c>
      <c r="AB323" s="948">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49">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6">
        <f t="shared" si="159"/>
        <v>0</v>
      </c>
      <c r="AE323" s="937">
        <f t="shared" si="156"/>
        <v>0</v>
      </c>
      <c r="AF323" s="937">
        <f t="shared" si="157"/>
        <v>0</v>
      </c>
      <c r="AG323" s="937">
        <f t="shared" si="158"/>
        <v>0</v>
      </c>
      <c r="AH323" s="1172">
        <f t="shared" si="154"/>
        <v>0</v>
      </c>
      <c r="AI323" s="937">
        <f t="shared" si="155"/>
        <v>0</v>
      </c>
    </row>
    <row r="324" spans="1:35" ht="13.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49"/>
        <v>0</v>
      </c>
      <c r="N324" s="312">
        <f t="shared" si="150"/>
        <v>0</v>
      </c>
      <c r="O324" s="346">
        <v>0</v>
      </c>
      <c r="P324" s="347">
        <v>0</v>
      </c>
      <c r="Q324" s="347">
        <v>0</v>
      </c>
      <c r="R324" s="347">
        <v>0</v>
      </c>
      <c r="S324" s="347">
        <v>0</v>
      </c>
      <c r="T324" s="347">
        <v>0</v>
      </c>
      <c r="U324" s="347">
        <v>0</v>
      </c>
      <c r="V324" s="347">
        <v>0</v>
      </c>
      <c r="W324" s="347">
        <v>0</v>
      </c>
      <c r="X324" s="347">
        <v>0</v>
      </c>
      <c r="Y324" s="381">
        <v>0</v>
      </c>
      <c r="Z324" s="310">
        <f t="shared" si="151"/>
        <v>0</v>
      </c>
      <c r="AA324" s="312">
        <f t="shared" si="152"/>
        <v>0</v>
      </c>
      <c r="AB324" s="948">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49">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6">
        <f t="shared" si="159"/>
        <v>0</v>
      </c>
      <c r="AE324" s="937">
        <f t="shared" si="156"/>
        <v>0</v>
      </c>
      <c r="AF324" s="937">
        <f t="shared" si="157"/>
        <v>0</v>
      </c>
      <c r="AG324" s="937">
        <f t="shared" si="158"/>
        <v>0</v>
      </c>
      <c r="AH324" s="1172">
        <f t="shared" si="154"/>
        <v>0</v>
      </c>
      <c r="AI324" s="937">
        <f t="shared" si="15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49"/>
        <v>0</v>
      </c>
      <c r="N325" s="284">
        <f t="shared" si="150"/>
        <v>0</v>
      </c>
      <c r="O325" s="342">
        <v>0</v>
      </c>
      <c r="P325" s="343">
        <v>0</v>
      </c>
      <c r="Q325" s="343">
        <v>0</v>
      </c>
      <c r="R325" s="343">
        <v>0</v>
      </c>
      <c r="S325" s="343">
        <v>0</v>
      </c>
      <c r="T325" s="343">
        <v>0</v>
      </c>
      <c r="U325" s="343">
        <v>0</v>
      </c>
      <c r="V325" s="343">
        <v>0</v>
      </c>
      <c r="W325" s="343">
        <v>0</v>
      </c>
      <c r="X325" s="343">
        <v>0</v>
      </c>
      <c r="Y325" s="379">
        <v>0</v>
      </c>
      <c r="Z325" s="282">
        <f t="shared" si="151"/>
        <v>0</v>
      </c>
      <c r="AA325" s="284">
        <f t="shared" si="152"/>
        <v>0</v>
      </c>
      <c r="AB325" s="948">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49">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6">
        <f t="shared" si="159"/>
        <v>0</v>
      </c>
      <c r="AE325" s="937">
        <f t="shared" si="156"/>
        <v>0</v>
      </c>
      <c r="AF325" s="937">
        <f t="shared" si="157"/>
        <v>0</v>
      </c>
      <c r="AG325" s="937">
        <f t="shared" si="158"/>
        <v>0</v>
      </c>
      <c r="AH325" s="1172">
        <f t="shared" si="154"/>
        <v>0</v>
      </c>
      <c r="AI325" s="937">
        <f t="shared" si="15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49"/>
        <v>0</v>
      </c>
      <c r="N326" s="298">
        <f t="shared" si="150"/>
        <v>0</v>
      </c>
      <c r="O326" s="344">
        <v>0</v>
      </c>
      <c r="P326" s="345">
        <v>0</v>
      </c>
      <c r="Q326" s="345">
        <v>0</v>
      </c>
      <c r="R326" s="345">
        <v>0</v>
      </c>
      <c r="S326" s="345">
        <v>0</v>
      </c>
      <c r="T326" s="345">
        <v>0</v>
      </c>
      <c r="U326" s="345">
        <v>0</v>
      </c>
      <c r="V326" s="345">
        <v>0</v>
      </c>
      <c r="W326" s="345">
        <v>0</v>
      </c>
      <c r="X326" s="345">
        <v>0</v>
      </c>
      <c r="Y326" s="380">
        <v>0</v>
      </c>
      <c r="Z326" s="296">
        <f t="shared" si="151"/>
        <v>0</v>
      </c>
      <c r="AA326" s="298">
        <f t="shared" si="152"/>
        <v>0</v>
      </c>
      <c r="AB326" s="948">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49">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6">
        <f t="shared" si="159"/>
        <v>0</v>
      </c>
      <c r="AE326" s="937">
        <f t="shared" si="156"/>
        <v>0</v>
      </c>
      <c r="AF326" s="937">
        <f t="shared" si="157"/>
        <v>0</v>
      </c>
      <c r="AG326" s="937">
        <f t="shared" si="158"/>
        <v>0</v>
      </c>
      <c r="AH326" s="1172">
        <f t="shared" si="154"/>
        <v>0</v>
      </c>
      <c r="AI326" s="937">
        <f t="shared" si="15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49"/>
        <v>0</v>
      </c>
      <c r="N327" s="298">
        <f t="shared" si="150"/>
        <v>0</v>
      </c>
      <c r="O327" s="344">
        <v>0</v>
      </c>
      <c r="P327" s="345">
        <v>0</v>
      </c>
      <c r="Q327" s="345">
        <v>0</v>
      </c>
      <c r="R327" s="345">
        <v>0</v>
      </c>
      <c r="S327" s="345">
        <v>0</v>
      </c>
      <c r="T327" s="345">
        <v>0</v>
      </c>
      <c r="U327" s="345">
        <v>0</v>
      </c>
      <c r="V327" s="345">
        <v>0</v>
      </c>
      <c r="W327" s="345">
        <v>0</v>
      </c>
      <c r="X327" s="345">
        <v>0</v>
      </c>
      <c r="Y327" s="380">
        <v>0</v>
      </c>
      <c r="Z327" s="296">
        <f t="shared" si="151"/>
        <v>0</v>
      </c>
      <c r="AA327" s="298">
        <f t="shared" si="152"/>
        <v>0</v>
      </c>
      <c r="AB327" s="948">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49">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6">
        <f t="shared" si="159"/>
        <v>0</v>
      </c>
      <c r="AE327" s="937">
        <f t="shared" si="156"/>
        <v>0</v>
      </c>
      <c r="AF327" s="937">
        <f t="shared" si="157"/>
        <v>0</v>
      </c>
      <c r="AG327" s="937">
        <f t="shared" si="158"/>
        <v>0</v>
      </c>
      <c r="AH327" s="1172">
        <f t="shared" si="154"/>
        <v>0</v>
      </c>
      <c r="AI327" s="937">
        <f t="shared" si="15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49"/>
        <v>0</v>
      </c>
      <c r="N328" s="298">
        <f t="shared" si="150"/>
        <v>0</v>
      </c>
      <c r="O328" s="344">
        <v>0</v>
      </c>
      <c r="P328" s="345">
        <v>0</v>
      </c>
      <c r="Q328" s="345">
        <v>0</v>
      </c>
      <c r="R328" s="345">
        <v>0</v>
      </c>
      <c r="S328" s="345">
        <v>0</v>
      </c>
      <c r="T328" s="345">
        <v>0</v>
      </c>
      <c r="U328" s="345">
        <v>0</v>
      </c>
      <c r="V328" s="345">
        <v>0</v>
      </c>
      <c r="W328" s="345">
        <v>0</v>
      </c>
      <c r="X328" s="345">
        <v>0</v>
      </c>
      <c r="Y328" s="380">
        <v>0</v>
      </c>
      <c r="Z328" s="296">
        <f t="shared" si="151"/>
        <v>0</v>
      </c>
      <c r="AA328" s="298">
        <f t="shared" si="152"/>
        <v>0</v>
      </c>
      <c r="AB328" s="948">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49">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6">
        <f t="shared" si="159"/>
        <v>0</v>
      </c>
      <c r="AE328" s="937">
        <f t="shared" si="156"/>
        <v>0</v>
      </c>
      <c r="AF328" s="937">
        <f t="shared" si="157"/>
        <v>0</v>
      </c>
      <c r="AG328" s="937">
        <f t="shared" si="158"/>
        <v>0</v>
      </c>
      <c r="AH328" s="1172">
        <f t="shared" si="154"/>
        <v>0</v>
      </c>
      <c r="AI328" s="937">
        <f t="shared" si="155"/>
        <v>0</v>
      </c>
    </row>
    <row r="329" spans="1:35" ht="13.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49"/>
        <v>0</v>
      </c>
      <c r="N329" s="312">
        <f t="shared" si="150"/>
        <v>0</v>
      </c>
      <c r="O329" s="346">
        <v>0</v>
      </c>
      <c r="P329" s="347">
        <v>0</v>
      </c>
      <c r="Q329" s="347">
        <v>0</v>
      </c>
      <c r="R329" s="347">
        <v>0</v>
      </c>
      <c r="S329" s="347">
        <v>0</v>
      </c>
      <c r="T329" s="347">
        <v>0</v>
      </c>
      <c r="U329" s="347">
        <v>0</v>
      </c>
      <c r="V329" s="347">
        <v>0</v>
      </c>
      <c r="W329" s="347">
        <v>0</v>
      </c>
      <c r="X329" s="347">
        <v>0</v>
      </c>
      <c r="Y329" s="381">
        <v>0</v>
      </c>
      <c r="Z329" s="310">
        <f t="shared" si="151"/>
        <v>0</v>
      </c>
      <c r="AA329" s="312">
        <f t="shared" si="152"/>
        <v>0</v>
      </c>
      <c r="AB329" s="950">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1">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7">
        <f t="shared" si="159"/>
        <v>0</v>
      </c>
      <c r="AE329" s="937">
        <f t="shared" ref="AE329" si="160">SUMPRODUCT($B$74:$L$74,B329:L329)</f>
        <v>0</v>
      </c>
      <c r="AF329" s="937">
        <f t="shared" ref="AF329" si="161">SUMPRODUCT($O$74:$Y$74,O329:Y329)</f>
        <v>0</v>
      </c>
      <c r="AG329" s="937">
        <f t="shared" ref="AG329" si="162">SUM(AE329:AF329)</f>
        <v>0</v>
      </c>
      <c r="AH329" s="1172">
        <f t="shared" ref="AH329" si="163">IF(AG329&gt;0,AE329/AG329,0)</f>
        <v>0</v>
      </c>
      <c r="AI329" s="937">
        <f t="shared" ref="AI329" si="164">IF(AG329&gt;0,AF329/AG329,0)</f>
        <v>0</v>
      </c>
    </row>
    <row r="330" spans="1:35" x14ac:dyDescent="0.2">
      <c r="B330" s="227" t="str">
        <f>B$120</f>
        <v>Output generated: 8/27/2020 18:37</v>
      </c>
      <c r="O330" s="227" t="str">
        <f>O$120</f>
        <v>Output generated: 8/27/2020 18:37</v>
      </c>
    </row>
  </sheetData>
  <mergeCells count="47">
    <mergeCell ref="B71:L71"/>
    <mergeCell ref="O71:Y71"/>
    <mergeCell ref="B122:N122"/>
    <mergeCell ref="O122:AA122"/>
    <mergeCell ref="B5:C5"/>
    <mergeCell ref="B3:C3"/>
    <mergeCell ref="L3:O3"/>
    <mergeCell ref="B4:C4"/>
    <mergeCell ref="L4:O4"/>
    <mergeCell ref="L5:O5"/>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AX19:BB19"/>
    <mergeCell ref="AS19:AW19"/>
    <mergeCell ref="AN19:AR19"/>
    <mergeCell ref="BC19:BH19"/>
    <mergeCell ref="AI19:AM19"/>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s>
  <phoneticPr fontId="59" type="noConversion"/>
  <conditionalFormatting sqref="Q20:Q67">
    <cfRule type="expression" dxfId="36" priority="19">
      <formula>$C$14="not used"</formula>
    </cfRule>
  </conditionalFormatting>
  <conditionalFormatting sqref="F68 R20:R67">
    <cfRule type="expression" dxfId="35" priority="18">
      <formula>$C$15 = "not used"</formula>
    </cfRule>
  </conditionalFormatting>
  <conditionalFormatting sqref="G20 S20:S67 X20 AC20:AC67 AH20:AH67 AM20:AM67 AR20:AR23 BB20:BB67 BH20:BH67 M20 AW20:AW67 M24:M67 G24:G67 X22:X67">
    <cfRule type="expression" dxfId="34" priority="17">
      <formula>$C$16="not used"</formula>
    </cfRule>
  </conditionalFormatting>
  <conditionalFormatting sqref="F20 AG20:AG67 AL20:AL67 AQ20:AQ23 BA20:BA67 BG20:BG67 L20 AV20:AV67 L24:L67 F24:F67">
    <cfRule type="expression" dxfId="33" priority="16">
      <formula>$C$15="not used"</formula>
    </cfRule>
  </conditionalFormatting>
  <conditionalFormatting sqref="Q20:Q67 V20 AA20:AA67 AF20:AF67 AK20:AK67 AP20:AP23 AZ20:AZ67 BF20:BF67 AU20:AU67 K20:K67 E20:E67 V22:V67">
    <cfRule type="expression" dxfId="32" priority="15">
      <formula>$C$14 = "not used"</formula>
    </cfRule>
  </conditionalFormatting>
  <conditionalFormatting sqref="L20">
    <cfRule type="expression" dxfId="31" priority="14">
      <formula>$C$17="not used"</formula>
    </cfRule>
  </conditionalFormatting>
  <conditionalFormatting sqref="M20">
    <cfRule type="expression" dxfId="30" priority="13">
      <formula>$C$18="not used"</formula>
    </cfRule>
  </conditionalFormatting>
  <conditionalFormatting sqref="L20">
    <cfRule type="expression" dxfId="29" priority="12">
      <formula>$C$17="not used"</formula>
    </cfRule>
  </conditionalFormatting>
  <conditionalFormatting sqref="M20">
    <cfRule type="expression" dxfId="28" priority="11">
      <formula>$C$18="not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A1" zoomScale="80" zoomScaleNormal="80" workbookViewId="0">
      <selection activeCell="AD24" sqref="AD24"/>
    </sheetView>
  </sheetViews>
  <sheetFormatPr defaultColWidth="8.42578125" defaultRowHeight="12.75" x14ac:dyDescent="0.2"/>
  <cols>
    <col min="1" max="1" width="6" style="227" customWidth="1"/>
    <col min="2" max="2" width="11.140625" style="227" customWidth="1"/>
    <col min="3" max="3" width="12" style="227" customWidth="1"/>
    <col min="4" max="4" width="13.5703125" style="227" bestFit="1" customWidth="1"/>
    <col min="5" max="5" width="11" style="227" customWidth="1"/>
    <col min="6" max="6" width="13.5703125" style="227" bestFit="1" customWidth="1"/>
    <col min="7" max="7" width="10.85546875" style="227" customWidth="1"/>
    <col min="8" max="8" width="12.140625" style="227" customWidth="1"/>
    <col min="9" max="9" width="11.7109375" style="227" customWidth="1"/>
    <col min="10" max="10" width="9.140625" style="227" customWidth="1"/>
    <col min="11" max="11" width="8.42578125" style="227"/>
    <col min="12" max="12" width="12.28515625" style="227" customWidth="1"/>
    <col min="13" max="13" width="10" style="227" customWidth="1"/>
    <col min="14" max="14" width="11.5703125" style="227" customWidth="1"/>
    <col min="15" max="16" width="11.28515625" style="227" customWidth="1"/>
    <col min="17" max="17" width="10.28515625" style="227" customWidth="1"/>
    <col min="18" max="18" width="10.42578125" style="227" customWidth="1"/>
    <col min="19" max="20" width="9.85546875" style="227" customWidth="1"/>
    <col min="21" max="21" width="10.42578125" style="227" customWidth="1"/>
    <col min="22" max="22" width="8.42578125" style="227"/>
    <col min="23" max="23" width="10" style="227" customWidth="1"/>
    <col min="24" max="24" width="10.7109375" style="227" customWidth="1"/>
    <col min="25" max="25" width="9.7109375" style="227" customWidth="1"/>
    <col min="26" max="26" width="9.85546875" style="227" customWidth="1"/>
    <col min="27" max="27" width="11.28515625" style="227" customWidth="1"/>
    <col min="28" max="28" width="8.42578125" style="227"/>
    <col min="29" max="29" width="12" style="227" customWidth="1"/>
    <col min="30" max="33" width="8.42578125" style="227"/>
    <col min="34" max="34" width="9.42578125" style="227" customWidth="1"/>
    <col min="35" max="39" width="8.42578125" style="323"/>
    <col min="40" max="40" width="9.5703125" style="227" customWidth="1"/>
    <col min="41" max="41" width="9" style="227" customWidth="1"/>
    <col min="42" max="42" width="9.28515625" style="227" customWidth="1"/>
    <col min="43" max="43" width="9.42578125" style="227" customWidth="1"/>
    <col min="44" max="44" width="8.42578125" style="227"/>
    <col min="45" max="46" width="9" style="227" customWidth="1"/>
    <col min="47" max="47" width="8.42578125" style="227"/>
    <col min="48" max="48" width="9" style="227" customWidth="1"/>
    <col min="49" max="54" width="8.42578125" style="227"/>
    <col min="55" max="55" width="9.140625" style="227" bestFit="1" customWidth="1"/>
    <col min="56" max="57" width="8.42578125" style="227"/>
    <col min="58" max="58" width="9.140625" style="227" bestFit="1" customWidth="1"/>
    <col min="59" max="60" width="9.5703125" style="227" bestFit="1" customWidth="1"/>
    <col min="61" max="16384" width="8.42578125" style="227"/>
  </cols>
  <sheetData>
    <row r="1" spans="2:64" ht="15.75" x14ac:dyDescent="0.25">
      <c r="B1" s="54" t="s">
        <v>244</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49" t="s">
        <v>53</v>
      </c>
      <c r="C3" s="1550"/>
      <c r="D3" s="236">
        <v>7.4999999999999997E-2</v>
      </c>
      <c r="F3"/>
      <c r="G3"/>
      <c r="H3"/>
      <c r="L3" s="227" t="s">
        <v>452</v>
      </c>
      <c r="N3" s="227" t="s">
        <v>127</v>
      </c>
      <c r="P3" s="1532" t="s">
        <v>204</v>
      </c>
      <c r="Q3" s="1533"/>
      <c r="R3" s="1533"/>
      <c r="S3" s="1533"/>
      <c r="T3" s="1533"/>
      <c r="U3" s="1534"/>
      <c r="Y3" s="216"/>
      <c r="AI3" s="227"/>
      <c r="AJ3" s="227"/>
      <c r="AK3" s="227"/>
      <c r="AL3" s="227"/>
      <c r="AM3" s="227"/>
    </row>
    <row r="4" spans="2:64" x14ac:dyDescent="0.2">
      <c r="B4" s="1549" t="s">
        <v>104</v>
      </c>
      <c r="C4" s="1550"/>
      <c r="D4" s="225" t="s">
        <v>111</v>
      </c>
      <c r="F4"/>
      <c r="G4"/>
      <c r="H4"/>
      <c r="N4" s="227" t="s">
        <v>126</v>
      </c>
      <c r="P4" s="1546">
        <v>44070.776087962964</v>
      </c>
      <c r="Q4" s="1533"/>
      <c r="R4" s="1533"/>
      <c r="S4" s="1533"/>
      <c r="T4" s="1533"/>
      <c r="U4" s="1534"/>
      <c r="V4" s="227" t="s">
        <v>186</v>
      </c>
      <c r="AI4" s="227"/>
      <c r="AJ4" s="227"/>
      <c r="AK4" s="227"/>
      <c r="AL4" s="227"/>
      <c r="AM4" s="227"/>
    </row>
    <row r="5" spans="2:64" x14ac:dyDescent="0.2">
      <c r="B5" s="1549" t="s">
        <v>118</v>
      </c>
      <c r="C5" s="1550"/>
      <c r="D5" s="225" t="s">
        <v>15</v>
      </c>
      <c r="F5"/>
      <c r="G5"/>
      <c r="H5"/>
      <c r="P5" s="1546">
        <v>44070.776087962964</v>
      </c>
      <c r="Q5" s="1533"/>
      <c r="R5" s="1533"/>
      <c r="S5" s="1533"/>
      <c r="T5" s="1533"/>
      <c r="U5" s="1534"/>
      <c r="V5" s="227" t="s">
        <v>15</v>
      </c>
      <c r="AI5" s="227"/>
      <c r="AJ5" s="227"/>
      <c r="AK5" s="227"/>
      <c r="AL5" s="227"/>
      <c r="AM5" s="227"/>
    </row>
    <row r="6" spans="2:64" x14ac:dyDescent="0.2">
      <c r="B6" s="1549" t="s">
        <v>68</v>
      </c>
      <c r="C6" s="1550"/>
      <c r="D6" s="238">
        <v>225000</v>
      </c>
      <c r="F6"/>
      <c r="G6"/>
      <c r="H6"/>
      <c r="AI6" s="227"/>
      <c r="AJ6" s="227"/>
      <c r="AK6" s="227"/>
      <c r="AL6" s="227"/>
      <c r="AM6" s="227"/>
    </row>
    <row r="7" spans="2:64" ht="6.75" customHeight="1" x14ac:dyDescent="0.2">
      <c r="Y7" s="239"/>
      <c r="AI7" s="227"/>
      <c r="AJ7" s="227"/>
      <c r="AK7" s="227"/>
      <c r="AL7" s="227"/>
      <c r="AM7" s="227"/>
    </row>
    <row r="8" spans="2:64" s="240" customFormat="1" ht="15.75" thickBot="1" x14ac:dyDescent="0.3">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7" customFormat="1" ht="28.5" customHeight="1" x14ac:dyDescent="0.2">
      <c r="B9" s="1059"/>
      <c r="C9" s="1060"/>
      <c r="D9" s="1061"/>
      <c r="E9" s="1061"/>
      <c r="F9" s="1059"/>
      <c r="G9" s="1062"/>
      <c r="H9" s="1063"/>
      <c r="I9" s="1063"/>
      <c r="J9" s="1520" t="s">
        <v>76</v>
      </c>
      <c r="K9" s="1521"/>
      <c r="L9" s="1566" t="s">
        <v>83</v>
      </c>
      <c r="M9" s="1567"/>
      <c r="N9" s="1566" t="s">
        <v>109</v>
      </c>
      <c r="O9" s="1568"/>
      <c r="P9" s="1568"/>
      <c r="Q9" s="1567"/>
      <c r="R9" s="1064"/>
      <c r="S9" s="1065"/>
      <c r="T9" s="1066"/>
      <c r="AD9" s="1068"/>
      <c r="AG9" s="1069"/>
      <c r="AH9" s="1069"/>
      <c r="AI9" s="1069"/>
      <c r="AJ9" s="1070"/>
      <c r="BF9" s="1071"/>
      <c r="BG9" s="1071"/>
      <c r="BH9" s="1071"/>
      <c r="BI9" s="1071"/>
      <c r="BJ9" s="1071"/>
      <c r="BK9" s="1071"/>
    </row>
    <row r="10" spans="2:64" s="240" customFormat="1" ht="39" customHeight="1" thickBot="1" x14ac:dyDescent="0.25">
      <c r="B10" s="273"/>
      <c r="C10" s="608" t="s">
        <v>75</v>
      </c>
      <c r="D10" s="591"/>
      <c r="E10" s="591"/>
      <c r="F10" s="731" t="s">
        <v>211</v>
      </c>
      <c r="G10" s="732" t="s">
        <v>210</v>
      </c>
      <c r="H10" s="835" t="s">
        <v>264</v>
      </c>
      <c r="I10" s="741" t="s">
        <v>81</v>
      </c>
      <c r="J10" s="1113" t="s">
        <v>283</v>
      </c>
      <c r="K10" s="1114" t="s">
        <v>284</v>
      </c>
      <c r="L10" s="572" t="s">
        <v>113</v>
      </c>
      <c r="M10" s="573" t="s">
        <v>84</v>
      </c>
      <c r="N10" s="574" t="s">
        <v>95</v>
      </c>
      <c r="O10" s="573" t="s">
        <v>112</v>
      </c>
      <c r="P10" s="573" t="s">
        <v>120</v>
      </c>
      <c r="Q10" s="575" t="s">
        <v>108</v>
      </c>
      <c r="R10" s="242"/>
      <c r="AD10" s="785"/>
      <c r="AE10" s="541"/>
      <c r="AF10" s="244"/>
      <c r="BD10" s="829"/>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9" t="str">
        <f t="shared" si="1"/>
        <v>N/A</v>
      </c>
      <c r="H11" s="885" t="b">
        <f t="shared" si="1"/>
        <v>0</v>
      </c>
      <c r="I11" s="742">
        <f t="shared" si="1"/>
        <v>0</v>
      </c>
      <c r="J11" s="738">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86" t="b">
        <f t="shared" si="1"/>
        <v>0</v>
      </c>
      <c r="I12" s="743">
        <f t="shared" si="1"/>
        <v>2025</v>
      </c>
      <c r="J12" s="739">
        <f t="shared" si="1"/>
        <v>0</v>
      </c>
      <c r="K12" s="237">
        <f t="shared" si="1"/>
        <v>0.5</v>
      </c>
      <c r="L12" s="237">
        <f t="shared" si="1"/>
        <v>5</v>
      </c>
      <c r="M12" s="237">
        <f t="shared" si="1"/>
        <v>5</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86" t="b">
        <f t="shared" si="1"/>
        <v>0</v>
      </c>
      <c r="I13" s="743">
        <f t="shared" si="1"/>
        <v>2025</v>
      </c>
      <c r="J13" s="739">
        <f t="shared" si="1"/>
        <v>0</v>
      </c>
      <c r="K13" s="237">
        <f t="shared" si="1"/>
        <v>0.5</v>
      </c>
      <c r="L13" s="237">
        <f t="shared" si="1"/>
        <v>5</v>
      </c>
      <c r="M13" s="237">
        <f t="shared" si="1"/>
        <v>5</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86" t="b">
        <f t="shared" si="1"/>
        <v>1</v>
      </c>
      <c r="I14" s="743">
        <f t="shared" si="1"/>
        <v>2025</v>
      </c>
      <c r="J14" s="739">
        <f t="shared" si="1"/>
        <v>0</v>
      </c>
      <c r="K14" s="237">
        <f t="shared" si="1"/>
        <v>0.5</v>
      </c>
      <c r="L14" s="237">
        <f t="shared" si="1"/>
        <v>5</v>
      </c>
      <c r="M14" s="237">
        <f t="shared" si="1"/>
        <v>5</v>
      </c>
      <c r="N14" s="237">
        <f t="shared" si="1"/>
        <v>0</v>
      </c>
      <c r="O14" s="237">
        <f t="shared" si="1"/>
        <v>350</v>
      </c>
      <c r="P14" s="709">
        <f>$D$6*('Inputs 7&amp;8 Day'!$N11/('Inputs 7&amp;8 Day'!$O11*1000))/12</f>
        <v>0</v>
      </c>
      <c r="Q14" s="710">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86" t="b">
        <f t="shared" si="1"/>
        <v>0</v>
      </c>
      <c r="I15" s="743">
        <f t="shared" si="1"/>
        <v>2025</v>
      </c>
      <c r="J15" s="739">
        <f t="shared" si="1"/>
        <v>0</v>
      </c>
      <c r="K15" s="237">
        <f t="shared" si="1"/>
        <v>0.5</v>
      </c>
      <c r="L15" s="237">
        <f t="shared" si="1"/>
        <v>5</v>
      </c>
      <c r="M15" s="237">
        <f t="shared" si="1"/>
        <v>5</v>
      </c>
      <c r="N15" s="237">
        <f t="shared" si="1"/>
        <v>0</v>
      </c>
      <c r="O15" s="237">
        <f t="shared" si="1"/>
        <v>350</v>
      </c>
      <c r="P15" s="709">
        <f>$D$6*('Inputs 7&amp;8 Day'!$N12/('Inputs 7&amp;8 Day'!$O12*1000))/12</f>
        <v>0</v>
      </c>
      <c r="Q15" s="710">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3.5" thickBot="1" x14ac:dyDescent="0.25">
      <c r="B16" s="590" t="s">
        <v>206</v>
      </c>
      <c r="C16" s="580">
        <f t="shared" si="0"/>
        <v>0</v>
      </c>
      <c r="D16" s="581"/>
      <c r="E16" s="581"/>
      <c r="F16" s="263" t="str">
        <f t="shared" si="1"/>
        <v>Diesel</v>
      </c>
      <c r="G16" s="262" t="str">
        <f t="shared" si="1"/>
        <v>N/A</v>
      </c>
      <c r="H16" s="887" t="b">
        <f t="shared" si="1"/>
        <v>0</v>
      </c>
      <c r="I16" s="744">
        <f t="shared" si="1"/>
        <v>2025</v>
      </c>
      <c r="J16" s="740">
        <f t="shared" si="1"/>
        <v>0</v>
      </c>
      <c r="K16" s="264">
        <f t="shared" si="1"/>
        <v>0</v>
      </c>
      <c r="L16" s="264">
        <f t="shared" si="1"/>
        <v>5</v>
      </c>
      <c r="M16" s="264">
        <f t="shared" si="1"/>
        <v>5</v>
      </c>
      <c r="N16" s="264">
        <f t="shared" si="1"/>
        <v>0</v>
      </c>
      <c r="O16" s="264">
        <f t="shared" si="1"/>
        <v>350</v>
      </c>
      <c r="P16" s="711">
        <f>$D$6*('Inputs 7&amp;8 Day'!$N13/('Inputs 7&amp;8 Day'!$O13*1000))/12</f>
        <v>0</v>
      </c>
      <c r="Q16" s="712">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3" t="s">
        <v>78</v>
      </c>
      <c r="AO17" s="797">
        <v>2</v>
      </c>
      <c r="AP17" s="794" t="s">
        <v>101</v>
      </c>
      <c r="AQ17" s="797">
        <v>1</v>
      </c>
      <c r="AR17" s="789"/>
      <c r="AS17" s="787" t="s">
        <v>233</v>
      </c>
      <c r="AT17" s="800"/>
      <c r="AU17" s="800"/>
      <c r="AV17" s="799"/>
      <c r="AW17" s="789"/>
      <c r="AX17" s="787"/>
      <c r="AY17" s="788"/>
      <c r="AZ17" s="788"/>
      <c r="BA17" s="788"/>
      <c r="BB17"/>
      <c r="BC17"/>
      <c r="BD17"/>
      <c r="BE17"/>
      <c r="BF17"/>
      <c r="BG17"/>
      <c r="BH17"/>
    </row>
    <row r="18" spans="1:60" ht="13.5" thickBot="1" x14ac:dyDescent="0.25">
      <c r="B18" s="229"/>
      <c r="D18" s="269"/>
      <c r="T18" s="270"/>
      <c r="Y18"/>
      <c r="Z18"/>
      <c r="AA18"/>
      <c r="AB18"/>
      <c r="AC18"/>
      <c r="AD18"/>
      <c r="AE18"/>
      <c r="AF18"/>
      <c r="AG18"/>
      <c r="AH18"/>
      <c r="AI18"/>
      <c r="AJ18"/>
      <c r="AK18"/>
      <c r="AL18"/>
      <c r="AM18"/>
      <c r="AN18" s="795" t="s">
        <v>79</v>
      </c>
      <c r="AO18" s="798">
        <v>0.6</v>
      </c>
      <c r="AP18" s="796"/>
      <c r="AQ18" s="796"/>
      <c r="AR18" s="792"/>
      <c r="AS18" s="802" t="s">
        <v>105</v>
      </c>
      <c r="AT18" s="803"/>
      <c r="AU18" s="804">
        <v>4</v>
      </c>
      <c r="AV18" s="803" t="s">
        <v>111</v>
      </c>
      <c r="AW18" s="792"/>
      <c r="AX18" s="790"/>
      <c r="AY18" s="801"/>
      <c r="AZ18" s="791"/>
      <c r="BA18" s="791"/>
      <c r="BB18"/>
      <c r="BC18"/>
      <c r="BD18"/>
      <c r="BE18"/>
      <c r="BF18"/>
      <c r="BG18"/>
      <c r="BH18"/>
    </row>
    <row r="19" spans="1:60" s="29" customFormat="1" ht="15.75" thickBot="1" x14ac:dyDescent="0.3">
      <c r="A19" s="805"/>
      <c r="B19" s="1543" t="s">
        <v>234</v>
      </c>
      <c r="C19" s="1544"/>
      <c r="D19" s="1544"/>
      <c r="E19" s="1544"/>
      <c r="F19" s="1544"/>
      <c r="G19" s="1545"/>
      <c r="H19" s="1543" t="s">
        <v>220</v>
      </c>
      <c r="I19" s="1544"/>
      <c r="J19" s="1544"/>
      <c r="K19" s="1544"/>
      <c r="L19" s="1544"/>
      <c r="M19" s="1545"/>
      <c r="N19" s="1544" t="s">
        <v>71</v>
      </c>
      <c r="O19" s="1544"/>
      <c r="P19" s="1544"/>
      <c r="Q19" s="1544"/>
      <c r="R19" s="1544"/>
      <c r="S19" s="1545"/>
      <c r="T19" s="1543" t="s">
        <v>107</v>
      </c>
      <c r="U19" s="1544"/>
      <c r="V19" s="1544"/>
      <c r="W19" s="1544"/>
      <c r="X19" s="1545"/>
      <c r="Y19" s="1543" t="s">
        <v>72</v>
      </c>
      <c r="Z19" s="1544"/>
      <c r="AA19" s="1544"/>
      <c r="AB19" s="1544"/>
      <c r="AC19" s="1545"/>
      <c r="AD19" s="1543" t="s">
        <v>92</v>
      </c>
      <c r="AE19" s="1544"/>
      <c r="AF19" s="1544"/>
      <c r="AG19" s="1544"/>
      <c r="AH19" s="1545"/>
      <c r="AI19" s="1543" t="s">
        <v>76</v>
      </c>
      <c r="AJ19" s="1544"/>
      <c r="AK19" s="1544"/>
      <c r="AL19" s="1544"/>
      <c r="AM19" s="1545"/>
      <c r="AN19" s="1543" t="s">
        <v>100</v>
      </c>
      <c r="AO19" s="1544"/>
      <c r="AP19" s="1544"/>
      <c r="AQ19" s="1544"/>
      <c r="AR19" s="1545"/>
      <c r="AS19" s="1543" t="s">
        <v>73</v>
      </c>
      <c r="AT19" s="1544"/>
      <c r="AU19" s="1544"/>
      <c r="AV19" s="1544"/>
      <c r="AW19" s="1545"/>
      <c r="AX19" s="1543" t="s">
        <v>102</v>
      </c>
      <c r="AY19" s="1544"/>
      <c r="AZ19" s="1544"/>
      <c r="BA19" s="1544"/>
      <c r="BB19" s="1545"/>
      <c r="BC19" s="1543" t="s">
        <v>82</v>
      </c>
      <c r="BD19" s="1544"/>
      <c r="BE19" s="1544"/>
      <c r="BF19" s="1544"/>
      <c r="BG19" s="1544"/>
      <c r="BH19" s="1545"/>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x14ac:dyDescent="0.2">
      <c r="A21" s="767"/>
      <c r="B21" s="1072"/>
      <c r="C21" s="1073"/>
      <c r="D21" s="1073"/>
      <c r="E21" s="1073"/>
      <c r="F21" s="1073"/>
      <c r="G21" s="1074"/>
      <c r="H21" s="993" t="str">
        <f>IF(INDEX($G$11:$G$16,MATCH(H20,$B$11:$B$16,0))="N/A","Single-fuel","Dual-Fuel")</f>
        <v>Single-fuel</v>
      </c>
      <c r="I21" s="994" t="str">
        <f t="shared" ref="I21:M21" si="3">IF(INDEX($G$11:$G$16,MATCH(I20,$B$11:$B$16,0))="N/A","Single-fuel","Dual-Fuel")</f>
        <v>Single-fuel</v>
      </c>
      <c r="J21" s="994" t="str">
        <f t="shared" si="3"/>
        <v>Single-fuel</v>
      </c>
      <c r="K21" s="994" t="str">
        <f t="shared" si="3"/>
        <v>Single-fuel</v>
      </c>
      <c r="L21" s="994" t="str">
        <f t="shared" si="3"/>
        <v>Single-fuel</v>
      </c>
      <c r="M21" s="995" t="str">
        <f t="shared" si="3"/>
        <v>Single-fuel</v>
      </c>
      <c r="N21" s="993" t="str">
        <f>INDEX($F$11:$F$16,MATCH(N20,$B$11:$B$16,0))</f>
        <v>Diesel</v>
      </c>
      <c r="O21" s="994" t="str">
        <f t="shared" ref="O21:S21" si="4">INDEX($F$11:$F$16,MATCH(O20,$B$11:$B$16,0))</f>
        <v>Diesel</v>
      </c>
      <c r="P21" s="994" t="str">
        <f t="shared" si="4"/>
        <v>Diesel</v>
      </c>
      <c r="Q21" s="994" t="str">
        <f t="shared" si="4"/>
        <v>Electricity</v>
      </c>
      <c r="R21" s="994" t="str">
        <f t="shared" si="4"/>
        <v>Hydrogen</v>
      </c>
      <c r="S21" s="995" t="str">
        <f t="shared" si="4"/>
        <v>Diesel</v>
      </c>
      <c r="T21" s="1554" t="s">
        <v>117</v>
      </c>
      <c r="U21" s="1555"/>
      <c r="V21" s="1555"/>
      <c r="W21" s="1555"/>
      <c r="X21" s="1556"/>
      <c r="Y21" s="993" t="str">
        <f t="shared" ref="Y21" si="5">INDEX($F$11:$F$16,MATCH(Y20,$B$11:$B$16,0))</f>
        <v>Diesel</v>
      </c>
      <c r="Z21" s="994" t="str">
        <f t="shared" ref="Z21" si="6">INDEX($F$11:$F$16,MATCH(Z20,$B$11:$B$16,0))</f>
        <v>Diesel</v>
      </c>
      <c r="AA21" s="994" t="str">
        <f t="shared" ref="AA21" si="7">INDEX($F$11:$F$16,MATCH(AA20,$B$11:$B$16,0))</f>
        <v>Electricity</v>
      </c>
      <c r="AB21" s="994" t="str">
        <f t="shared" ref="AB21" si="8">INDEX($F$11:$F$16,MATCH(AB20,$B$11:$B$16,0))</f>
        <v>Hydrogen</v>
      </c>
      <c r="AC21" s="995" t="str">
        <f t="shared" ref="AC21" si="9">INDEX($F$11:$F$16,MATCH(AC20,$B$11:$B$16,0))</f>
        <v>Diesel</v>
      </c>
      <c r="AD21" s="1016">
        <f>INDEX($L$11:$L$16,MATCH(AD20,$B$11:$B$16,0))</f>
        <v>5</v>
      </c>
      <c r="AE21" s="1017">
        <f>INDEX($L$11:$L$16,MATCH(AE20,$B$11:$B$16,0))</f>
        <v>5</v>
      </c>
      <c r="AF21" s="1017">
        <f>INDEX($L$11:$L$16,MATCH(AF20,$B$11:$B$16,0))</f>
        <v>5</v>
      </c>
      <c r="AG21" s="1017">
        <f>INDEX($L$11:$L$16,MATCH(AG20,$B$11:$B$16,0))</f>
        <v>5</v>
      </c>
      <c r="AH21" s="1018">
        <f>INDEX($L$11:$L$16,MATCH(AH20,$B$11:$B$16,0))</f>
        <v>5</v>
      </c>
      <c r="AI21" s="1052">
        <f>INDEX($J$11:$J$16,MATCH(AI20,$B$11:$B$16,0))</f>
        <v>0</v>
      </c>
      <c r="AJ21" s="1053">
        <f t="shared" ref="AJ21:AM21" si="10">INDEX($J$11:$J$16,MATCH(AJ20,$B$11:$B$16,0))</f>
        <v>0</v>
      </c>
      <c r="AK21" s="1053">
        <f t="shared" si="10"/>
        <v>0</v>
      </c>
      <c r="AL21" s="1053">
        <f t="shared" si="10"/>
        <v>0</v>
      </c>
      <c r="AM21" s="1054">
        <f t="shared" si="10"/>
        <v>0</v>
      </c>
      <c r="AN21" s="993" t="str">
        <f t="shared" ref="AN21" si="11">INDEX($F$11:$F$16,MATCH(AN20,$B$11:$B$16,0))</f>
        <v>Diesel</v>
      </c>
      <c r="AO21" s="994" t="str">
        <f t="shared" ref="AO21" si="12">INDEX($F$11:$F$16,MATCH(AO20,$B$11:$B$16,0))</f>
        <v>Diesel</v>
      </c>
      <c r="AP21" s="994" t="str">
        <f t="shared" ref="AP21" si="13">INDEX($F$11:$F$16,MATCH(AP20,$B$11:$B$16,0))</f>
        <v>Electricity</v>
      </c>
      <c r="AQ21" s="994" t="str">
        <f t="shared" ref="AQ21" si="14">INDEX($F$11:$F$16,MATCH(AQ20,$B$11:$B$16,0))</f>
        <v>Hydrogen</v>
      </c>
      <c r="AR21" s="995" t="str">
        <f t="shared" ref="AR21" si="15">INDEX($F$11:$F$16,MATCH(AR20,$B$11:$B$16,0))</f>
        <v>Diesel</v>
      </c>
      <c r="AS21" s="993" t="str">
        <f t="shared" ref="AS21" si="16">INDEX($F$11:$F$16,MATCH(AS20,$B$11:$B$16,0))</f>
        <v>Diesel</v>
      </c>
      <c r="AT21" s="994" t="str">
        <f t="shared" ref="AT21" si="17">INDEX($F$11:$F$16,MATCH(AT20,$B$11:$B$16,0))</f>
        <v>Diesel</v>
      </c>
      <c r="AU21" s="994" t="str">
        <f t="shared" ref="AU21" si="18">INDEX($F$11:$F$16,MATCH(AU20,$B$11:$B$16,0))</f>
        <v>Electricity</v>
      </c>
      <c r="AV21" s="994" t="str">
        <f t="shared" ref="AV21" si="19">INDEX($F$11:$F$16,MATCH(AV20,$B$11:$B$16,0))</f>
        <v>Hydrogen</v>
      </c>
      <c r="AW21" s="995" t="str">
        <f t="shared" ref="AW21" si="20">INDEX($F$11:$F$16,MATCH(AW20,$B$11:$B$16,0))</f>
        <v>Diesel</v>
      </c>
      <c r="AX21" s="993" t="str">
        <f t="shared" ref="AX21" si="21">INDEX($F$11:$F$16,MATCH(AX20,$B$11:$B$16,0))</f>
        <v>Diesel</v>
      </c>
      <c r="AY21" s="994" t="str">
        <f t="shared" ref="AY21" si="22">INDEX($F$11:$F$16,MATCH(AY20,$B$11:$B$16,0))</f>
        <v>Diesel</v>
      </c>
      <c r="AZ21" s="994" t="str">
        <f t="shared" ref="AZ21" si="23">INDEX($F$11:$F$16,MATCH(AZ20,$B$11:$B$16,0))</f>
        <v>Electricity</v>
      </c>
      <c r="BA21" s="994" t="str">
        <f t="shared" ref="BA21" si="24">INDEX($F$11:$F$16,MATCH(BA20,$B$11:$B$16,0))</f>
        <v>Hydrogen</v>
      </c>
      <c r="BB21" s="995" t="str">
        <f t="shared" ref="BB21" si="25">INDEX($F$11:$F$16,MATCH(BB20,$B$11:$B$16,0))</f>
        <v>Diesel</v>
      </c>
      <c r="BC21" s="1026" t="str">
        <f>INDEX($F$11:$F$16,MATCH(BC20,$B$11:$B$16,0))</f>
        <v>Diesel</v>
      </c>
      <c r="BD21" s="994" t="str">
        <f t="shared" ref="BD21:BH21" si="26">INDEX($F$11:$F$16,MATCH(BD20,$B$11:$B$16,0))</f>
        <v>Diesel</v>
      </c>
      <c r="BE21" s="994" t="str">
        <f t="shared" si="26"/>
        <v>Diesel</v>
      </c>
      <c r="BF21" s="994" t="str">
        <f t="shared" si="26"/>
        <v>Electricity</v>
      </c>
      <c r="BG21" s="994" t="str">
        <f t="shared" si="26"/>
        <v>Hydrogen</v>
      </c>
      <c r="BH21" s="995" t="str">
        <f t="shared" si="26"/>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Q12</f>
        <v>0</v>
      </c>
      <c r="U22" s="1003">
        <f>Q13</f>
        <v>0</v>
      </c>
      <c r="V22" s="1003">
        <f>Q14</f>
        <v>0</v>
      </c>
      <c r="W22" s="1003">
        <f>Q15</f>
        <v>0</v>
      </c>
      <c r="X22" s="1004">
        <f>Q16</f>
        <v>0</v>
      </c>
      <c r="Y22" s="993" t="b">
        <f>INDEX($H$11:$H$16,MATCH(Y20,$B$11:$B$16,0))</f>
        <v>0</v>
      </c>
      <c r="Z22" s="1011" t="b">
        <f t="shared" ref="Z22:AC22" si="27">INDEX($H$11:$H$16,MATCH(Z20,$B$11:$B$16,0))</f>
        <v>0</v>
      </c>
      <c r="AA22" s="1011" t="b">
        <f t="shared" si="27"/>
        <v>1</v>
      </c>
      <c r="AB22" s="1011" t="b">
        <f t="shared" si="27"/>
        <v>0</v>
      </c>
      <c r="AC22" s="1012" t="b">
        <f t="shared" si="27"/>
        <v>0</v>
      </c>
      <c r="AD22" s="1016">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8">INDEX($K$11:$K$16,MATCH(AJ20,$B$11:$B$16,0))</f>
        <v>0.5</v>
      </c>
      <c r="AK22" s="1053">
        <f t="shared" si="28"/>
        <v>0.5</v>
      </c>
      <c r="AL22" s="1053">
        <f t="shared" si="28"/>
        <v>0.5</v>
      </c>
      <c r="AM22" s="1054">
        <f t="shared" si="28"/>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3.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21"/>
      <c r="Z23" s="1024"/>
      <c r="AA23" s="1024"/>
      <c r="AB23" s="1024"/>
      <c r="AC23" s="1025"/>
      <c r="AD23" s="1021"/>
      <c r="AE23" s="1022"/>
      <c r="AF23" s="1022"/>
      <c r="AG23" s="1022"/>
      <c r="AH23" s="1023"/>
      <c r="AI23" s="1021">
        <f>INDEX($I$11:$I$16,MATCH(AI20,$B$11:$B$16,0))</f>
        <v>2025</v>
      </c>
      <c r="AJ23" s="1024">
        <f t="shared" ref="AJ23:AM23" si="29">INDEX($I$11:$I$16,MATCH(AJ20,$B$11:$B$16,0))</f>
        <v>2025</v>
      </c>
      <c r="AK23" s="1024">
        <f t="shared" si="29"/>
        <v>2025</v>
      </c>
      <c r="AL23" s="1024">
        <f t="shared" si="29"/>
        <v>2025</v>
      </c>
      <c r="AM23" s="1025">
        <f t="shared" si="29"/>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3.5" thickTop="1" x14ac:dyDescent="0.2">
      <c r="A24" s="609">
        <v>2007</v>
      </c>
      <c r="B24" s="809" cm="1">
        <f t="array" ref="B24">ROUND(INDEX(COST_Cls3,$A24-($A$24-1),MATCH(B$20,TECHOPTS_Cls3,0)),2)</f>
        <v>81898</v>
      </c>
      <c r="C24" s="809" cm="1">
        <f t="array" ref="C24">ROUND(INDEX(COST_Cls3,$A24-($A$24-1),MATCH(C$20,TECHOPTS_Cls3,0)),2)</f>
        <v>1000000</v>
      </c>
      <c r="D24" s="809" cm="1">
        <f t="array" ref="D24">ROUND(INDEX(COST_Cls3,$A24-($A$24-1),MATCH(D$20,TECHOPTS_Cls3,0)),2)</f>
        <v>1000000</v>
      </c>
      <c r="E24" s="809" cm="1">
        <f t="array" ref="E24">ROUND(INDEX(COST_Cls3,$A24-($A$24-1),MATCH(E$20,TECHOPTS_Cls3,0)),2)</f>
        <v>1000000</v>
      </c>
      <c r="F24" s="809" cm="1">
        <f t="array" ref="F24">ROUND(INDEX(COST_Cls3,$A24-($A$24-1),MATCH(F$20,TECHOPTS_Cls3,0)),2)</f>
        <v>1000000</v>
      </c>
      <c r="G24" s="810" cm="1">
        <f t="array" ref="G24">ROUND(INDEX(COST_Cls3,$A24-($A$24-1),MATCH(G$20,TECHOPTS_Cls3,0)),2)</f>
        <v>1000000</v>
      </c>
      <c r="H24" s="781" cm="1">
        <f t="array" ref="H24">IF(H$21="Single-fuel",1,1-MIN(INDEX(CDRANGE_CLS3,$A24-($A$24-1),MATCH(H$20,TECHOPTS_Cls3,0))*OPDAYS_Cls3/$D$6,1))</f>
        <v>1</v>
      </c>
      <c r="I24" s="782" cm="1">
        <f t="array" ref="I24">IF(I$21="Single-fuel",1,1-MIN(INDEX(CDRANGE_CLS3,$A24-($A$24-1),MATCH(I$20,TECHOPTS_Cls3,0))*OPDAYS_Cls3/$D$6,1))</f>
        <v>1</v>
      </c>
      <c r="J24" s="782" cm="1">
        <f t="array" ref="J24">IF(J$21="Single-fuel",1,1-MIN(INDEX(CDRANGE_CLS3,$A24-($A$24-1),MATCH(J$20,TECHOPTS_Cls3,0))*OPDAYS_Cls3/$D$6,1))</f>
        <v>1</v>
      </c>
      <c r="K24" s="782" cm="1">
        <f t="array" ref="K24">IF(K$21="Single-fuel",1,1-MIN(INDEX(CDRANGE_CLS3,$A24-($A$24-1),MATCH(K$20,TECHOPTS_Cls3,0))*OPDAYS_Cls3/$D$6,1))</f>
        <v>1</v>
      </c>
      <c r="L24" s="782" cm="1">
        <f t="array" ref="L24">IF(L$21="Single-fuel",1,1-MIN(INDEX(CDRANGE_CLS3,$A24-($A$24-1),MATCH(L$20,TECHOPTS_Cls3,0))*OPDAYS_Cls3/$D$6,1))</f>
        <v>1</v>
      </c>
      <c r="M24" s="783" cm="1">
        <f t="array" ref="M24">IF(M$21="Single-fuel",1,1-MIN(INDEX(CDRANGE_CLS3,$A24-($A$24-1),MATCH(M$20,TECHOPTS_Cls3,0))*OPDAYS_Cls3/$D$6,1))</f>
        <v>1</v>
      </c>
      <c r="N24" s="733" cm="1">
        <f t="array" ref="N24">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7401.0796561315556</v>
      </c>
      <c r="O24" s="276" cm="1">
        <f t="array" ref="O24">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cm="1">
        <f t="array" ref="P2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cm="1">
        <f t="array" ref="Q24">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166461.84525000001</v>
      </c>
      <c r="R24" s="276" cm="1">
        <f t="array" ref="R24">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232544.70938897168</v>
      </c>
      <c r="S24" s="276" cm="1">
        <f t="array" ref="S24">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43872.666565487925</v>
      </c>
      <c r="T24" s="275">
        <f t="shared" ref="T24:T67" si="30">$N24-O24+T$22</f>
        <v>-36471.586909356367</v>
      </c>
      <c r="U24" s="276">
        <f t="shared" ref="U24:U67" si="31">$N24-P24+U$22</f>
        <v>-36471.586909356367</v>
      </c>
      <c r="V24" s="276">
        <f t="shared" ref="V24:V67" si="32">$N24-Q24+V$22</f>
        <v>-159060.76559386845</v>
      </c>
      <c r="W24" s="276">
        <f t="shared" ref="W24:W67" si="33">$N24-R24+W$22</f>
        <v>-225143.62973284011</v>
      </c>
      <c r="X24" s="278">
        <f t="shared" ref="X24:X67" si="34">$N24-S24+X$22</f>
        <v>-36471.586909356367</v>
      </c>
      <c r="Y24" s="279" cm="1">
        <f t="array" aca="1" ref="Y24" ca="1">IF(AND(Y$22=TRUE,INDEX(CDRANGE_CLS3,MATCH($A24,$A$24:$A$67,0),MATCH(Y$20,$B$20:$G$20,0))&lt;$D$6/OPDAYS_Cls3),86,payback(C24,T24,disc_rate/12,85))</f>
        <v>86</v>
      </c>
      <c r="Z24" s="280" cm="1">
        <f t="array" aca="1" ref="Z24" ca="1">IF(AND(Z$22=TRUE,INDEX(CDRANGE_CLS3,MATCH($A24,$A$24:$A$67,0),MATCH(Z$20,$B$20:$G$20,0))&lt;$D$6/OPDAYS_Cls3),86,payback(D24,U24,disc_rate/12,85))</f>
        <v>86</v>
      </c>
      <c r="AA24" s="280" cm="1">
        <f t="array" ref="AA24">IF(AND(AA$22=TRUE,INDEX(CDRANGE_CLS3,MATCH($A24,$A$24:$A$67,0),MATCH(AA$20,$B$20:$G$20,0))&lt;$D$6/OPDAYS_Cls3),86,payback(E24,V24,disc_rate/12,85))</f>
        <v>86</v>
      </c>
      <c r="AB24" s="280" cm="1">
        <f t="array" aca="1" ref="AB24" ca="1">IF(AND(AB$22=TRUE,INDEX(CDRANGE_CLS3,MATCH($A24,$A$24:$A$67,0),MATCH(AB$20,$B$20:$G$20,0))&lt;$D$6/OPDAYS_Cls3),86,payback(F24,W24,disc_rate/12,85))</f>
        <v>86</v>
      </c>
      <c r="AC24" s="281" cm="1">
        <f t="array" aca="1" ref="AC24" ca="1">IF(AND(AC$22=TRUE,INDEX(CDRANGE_CLS3,MATCH($A24,$A$24:$A$67,0),MATCH(AC$20,$B$20:$G$20,0))&lt;$D$6/OPDAYS_Cls3),86,payback(G24,X24,disc_rate/12,85))</f>
        <v>86</v>
      </c>
      <c r="AD24" s="282">
        <f t="shared" ref="AD24:AD67" si="35">IF(AND(C24&lt;=AD$21,$N24-O24&gt;=-AD$22),AI24*VLOOKUP(C24/AD$21,FirstCostInd,2,TRUE)*VLOOKUP(($N24-O24)/AD$22,FuelCostInd,2,1),0)</f>
        <v>0</v>
      </c>
      <c r="AE24" s="283">
        <f t="shared" ref="AE24:AE67" si="36">IF(AND(D24&lt;=AE$21,$N24-P24&gt;=-AE$22),AJ24*VLOOKUP(D24/AE$21,FirstCostInd,2,TRUE)*VLOOKUP(($N24-P24)/AE$22,FuelCostInd,2,1),0)</f>
        <v>0</v>
      </c>
      <c r="AF24" s="283">
        <f t="shared" ref="AF24:AF67" si="37">IF(AND(E24&lt;=AF$21,$N24-Q24&gt;=-AF$22),AK24*VLOOKUP(E24/AF$21,FirstCostInd,2,TRUE)*VLOOKUP(($N24-Q24)/AF$22,FuelCostInd,2,1),0)</f>
        <v>0</v>
      </c>
      <c r="AG24" s="283">
        <f t="shared" ref="AG24:AG67" si="38">IF(AND(F24&lt;=AG$21,$N24-R24&gt;=-AG$22),AL24*VLOOKUP(F24/AG$21,FirstCostInd,2,TRUE)*VLOOKUP(($N24-R24)/AG$22,FuelCostInd,2,1),0)</f>
        <v>0</v>
      </c>
      <c r="AH24" s="644">
        <f t="shared" ref="AH24:AH67" si="39">IF(AND(G24&lt;=AH$21,$N24-S24&gt;=-AH$22),AM24*VLOOKUP(G24/AH$21,FirstCostInd,2,TRUE)*VLOOKUP(($N24-S24)/AH$22,FuelCostInd,2,1),0)</f>
        <v>0</v>
      </c>
      <c r="AI24" s="285" cm="1">
        <f t="array" ref="AI24">IF($A24&lt;AI$23,0,AI$21+VLOOKUP($A24-AI$23,SCdata,2,1)*(AI$22-AI$21))*IF($D$5="Non-Central",INDEX(fuel_avail,$A24-$A$24+1,MATCH(O$21,Fuels,0)),1)</f>
        <v>0</v>
      </c>
      <c r="AJ24" s="286" cm="1">
        <f t="array" ref="AJ24">IF($A24&lt;AJ$23,0,AJ$21+VLOOKUP($A24-AJ$23,SCdata,2,1)*(AJ$22-AJ$21))*IF($D$5="Non-Central",INDEX(fuel_avail,$A24-$A$24+1,MATCH(P$21,Fuels,0)),1)</f>
        <v>0</v>
      </c>
      <c r="AK24" s="286" cm="1">
        <f t="array" ref="AK24">IF($A24&lt;AK$23,0,AK$21+VLOOKUP($A24-AK$23,SCdata,2,1)*(AK$22-AK$21))*IF($D$5="Non-Central",INDEX(fuel_avail,$A24-$A$24+1,MATCH(Q$21,Fuels,0)),1)</f>
        <v>0</v>
      </c>
      <c r="AL24" s="286" cm="1">
        <f t="array" ref="AL24">IF($A24&lt;AL$23,0,AL$21+VLOOKUP($A24-AL$23,SCdata,2,1)*(AL$22-AL$21))*IF($D$5="Non-Central",INDEX(fuel_avail,$A24-$A$24+1,MATCH(R$21,Fuels,0)),1)</f>
        <v>0</v>
      </c>
      <c r="AM24" s="287" cm="1">
        <f t="array" ref="AM24">IF($A24&lt;AM$23,0,AM$21+VLOOKUP($A24-AM$23,SCdata,2,1)*(AM$22-AM$21))*IF($D$5="Non-Central",INDEX(fuel_avail,$A24-$A$24+1,MATCH(S$21,Fuels,0)),1)</f>
        <v>0</v>
      </c>
      <c r="AN24" s="285">
        <f>IF(C24&lt;0,1,$AQ$17*(1-WEIBULL(C24/$B24,$AO$17,$AO$18,1)))</f>
        <v>0</v>
      </c>
      <c r="AO24" s="286">
        <f t="shared" ref="AO24:AR39" si="40">IF(D24&lt;0,1,$AQ$17*(1-WEIBULL(D24/$B24,$AO$17,$AO$18,1)))</f>
        <v>0</v>
      </c>
      <c r="AP24" s="286">
        <f t="shared" si="40"/>
        <v>0</v>
      </c>
      <c r="AQ24" s="286">
        <f t="shared" si="40"/>
        <v>0</v>
      </c>
      <c r="AR24" s="287">
        <f t="shared" si="40"/>
        <v>0</v>
      </c>
      <c r="AS24" s="282">
        <f t="shared" ref="AS24:AS67" ca="1" si="41">MIN(1,MAX(AD24,IF(Y24&gt;85,0,(AI24/0.5)*VLOOKUP(Y24,AdoptDec,$AU$18,0))))</f>
        <v>0</v>
      </c>
      <c r="AT24" s="283">
        <f t="shared" ref="AT24:AT67" ca="1" si="42">MIN(1,MAX(AE24,IF(Z24&gt;85,0,(AJ24/0.5)*VLOOKUP(Z24,AdoptDec,$AU$18,0))))</f>
        <v>0</v>
      </c>
      <c r="AU24" s="806">
        <f t="shared" ref="AU24:AU67" si="43">MIN(1,MAX(AF24,IF(AA24&gt;85,0,(AK24/0.5)*VLOOKUP(AA24,AdoptDec,$AU$18,0))))</f>
        <v>0</v>
      </c>
      <c r="AV24" s="806">
        <f t="shared" ref="AV24:AV67" ca="1" si="44">MIN(1,MAX(AG24,IF(AB24&gt;85,0,(AL24/0.5)*VLOOKUP(AB24,AdoptDec,$AU$18,0))))</f>
        <v>0</v>
      </c>
      <c r="AW24" s="807">
        <f t="shared" ref="AW24:AW67" ca="1" si="45">MIN(1,MAX(AH24,IF(AC24&gt;85,0,(AM24/0.5)*VLOOKUP(AC24,AdoptDec,$AU$18,0))))</f>
        <v>0</v>
      </c>
      <c r="AX24" s="756">
        <f t="shared" ref="AX24:BB67" ca="1" si="46">MIN(AS24*AN24,1)</f>
        <v>0</v>
      </c>
      <c r="AY24" s="283">
        <f t="shared" ca="1" si="46"/>
        <v>0</v>
      </c>
      <c r="AZ24" s="283">
        <f t="shared" si="46"/>
        <v>0</v>
      </c>
      <c r="BA24" s="283">
        <f t="shared" ca="1" si="46"/>
        <v>0</v>
      </c>
      <c r="BB24" s="644">
        <f t="shared" ca="1" si="46"/>
        <v>0</v>
      </c>
      <c r="BC24" s="282">
        <f ca="1">1-SUM(BD24:BH24)</f>
        <v>1</v>
      </c>
      <c r="BD24" s="283">
        <f t="shared" ref="BD24:BD67" ca="1" si="47">IF(SUM($AX24:$BB24)=0,0,MAX($AX24:$BB24)*(AI24*AX24/SUMPRODUCT($AI24:$AM24,$AX24:$BB24)))</f>
        <v>0</v>
      </c>
      <c r="BE24" s="283">
        <f t="shared" ref="BE24:BE67" ca="1" si="48">IF(SUM($AX24:$BB24)=0,0,MAX($AX24:$BB24)*(AJ24*AY24/SUMPRODUCT($AI24:$AM24,$AX24:$BB24)))</f>
        <v>0</v>
      </c>
      <c r="BF24" s="283">
        <f t="shared" ref="BF24:BF67" ca="1" si="49">IF(SUM($AX24:$BB24)=0,0,MAX($AX24:$BB24)*(AK24*AZ24/SUMPRODUCT($AI24:$AM24,$AX24:$BB24)))</f>
        <v>0</v>
      </c>
      <c r="BG24" s="283">
        <f t="shared" ref="BG24:BG67" ca="1" si="50">IF(SUM($AX24:$BB24)=0,0,MAX($AX24:$BB24)*(AL24*BA24/SUMPRODUCT($AI24:$AM24,$AX24:$BB24)))</f>
        <v>0</v>
      </c>
      <c r="BH24" s="284">
        <f t="shared" ref="BH24:BH67" ca="1" si="51">IF(SUM($AX24:$BB24)=0,0,MAX($AX24:$BB24)*(AM24*BB24/SUMPRODUCT($AI24:$AM24,$AX24:$BB24)))</f>
        <v>0</v>
      </c>
    </row>
    <row r="25" spans="1:60" x14ac:dyDescent="0.2">
      <c r="A25" s="288">
        <v>2008</v>
      </c>
      <c r="B25" s="811" cm="1">
        <f t="array" ref="B25">ROUND(INDEX(COST_Cls3,$A25-($A$24-1),MATCH(B$20,TECHOPTS_Cls3,0)),2)</f>
        <v>81898</v>
      </c>
      <c r="C25" s="812" cm="1">
        <f t="array" ref="C25">ROUND(INDEX(COST_Cls3,$A25-($A$24-1),MATCH(C$20,TECHOPTS_Cls3,0)),2)</f>
        <v>1000000</v>
      </c>
      <c r="D25" s="812" cm="1">
        <f t="array" ref="D25">ROUND(INDEX(COST_Cls3,$A25-($A$24-1),MATCH(D$20,TECHOPTS_Cls3,0)),2)</f>
        <v>1000000</v>
      </c>
      <c r="E25" s="812" cm="1">
        <f t="array" ref="E25">ROUND(INDEX(COST_Cls3,$A25-($A$24-1),MATCH(E$20,TECHOPTS_Cls3,0)),2)</f>
        <v>1000000</v>
      </c>
      <c r="F25" s="812" cm="1">
        <f t="array" ref="F25">ROUND(INDEX(COST_Cls3,$A25-($A$24-1),MATCH(F$20,TECHOPTS_Cls3,0)),2)</f>
        <v>1000000</v>
      </c>
      <c r="G25" s="813" cm="1">
        <f t="array" ref="G25">ROUND(INDEX(COST_Cls3,$A25-($A$24-1),MATCH(G$20,TECHOPTS_Cls3,0)),2)</f>
        <v>1000000</v>
      </c>
      <c r="H25" s="781" cm="1">
        <f t="array" ref="H25">IF(H$21="Single-fuel",1,1-MIN(INDEX(CDRANGE_CLS3,$A25-($A$24-1),MATCH(H$20,TECHOPTS_Cls3,0))*OPDAYS_Cls3/$D$6,1))</f>
        <v>1</v>
      </c>
      <c r="I25" s="782" cm="1">
        <f t="array" ref="I25">IF(I$21="Single-fuel",1,1-MIN(INDEX(CDRANGE_CLS3,$A25-($A$24-1),MATCH(I$20,TECHOPTS_Cls3,0))*OPDAYS_Cls3/$D$6,1))</f>
        <v>1</v>
      </c>
      <c r="J25" s="782" cm="1">
        <f t="array" ref="J25">IF(J$21="Single-fuel",1,1-MIN(INDEX(CDRANGE_CLS3,$A25-($A$24-1),MATCH(J$20,TECHOPTS_Cls3,0))*OPDAYS_Cls3/$D$6,1))</f>
        <v>1</v>
      </c>
      <c r="K25" s="782" cm="1">
        <f t="array" ref="K25">IF(K$21="Single-fuel",1,1-MIN(INDEX(CDRANGE_CLS3,$A25-($A$24-1),MATCH(K$20,TECHOPTS_Cls3,0))*OPDAYS_Cls3/$D$6,1))</f>
        <v>1</v>
      </c>
      <c r="L25" s="782" cm="1">
        <f t="array" ref="L25">IF(L$21="Single-fuel",1,1-MIN(INDEX(CDRANGE_CLS3,$A25-($A$24-1),MATCH(L$20,TECHOPTS_Cls3,0))*OPDAYS_Cls3/$D$6,1))</f>
        <v>1</v>
      </c>
      <c r="M25" s="783" cm="1">
        <f t="array" ref="M25">IF(M$21="Single-fuel",1,1-MIN(INDEX(CDRANGE_CLS3,$A25-($A$24-1),MATCH(M$20,TECHOPTS_Cls3,0))*OPDAYS_Cls3/$D$6,1))</f>
        <v>1</v>
      </c>
      <c r="N25" s="733" cm="1">
        <f t="array" ref="N25">VLOOKUP($A25,IF($D$5="Central",FuelPriceCent,FuelPriceNCent),MATCH(N$21,FuelPriceCols,0),0)*(H25*$D$6)/(12*INDEX(FUEL1MPG_Cls3,$A25-($A$24-1),MATCH(N$20,TECHOPTS_Cls3,0)))+IFERROR(VLOOKUP($A25,IF($D$5="Central",FuelPriceCent,FuelPriceNCent),MATCH(INDEX($G$11:$G$16,MATCH(N$20,$B$11:$B$16,0)),FuelPriceCols,0),0),0)*((1-H25)*$D$6)/(12*INDEX(FUEL2MPG_Cls3,$A25-($A$24-1),MATCH(N$20,TECHOPTS_Cls3,0)))</f>
        <v>10130.336269715131</v>
      </c>
      <c r="O25" s="276" cm="1">
        <f t="array" ref="O25">VLOOKUP($A25,IF($D$5="Central",FuelPriceCent,FuelPriceNCent),MATCH(O$21,FuelPriceCols,0),0)*(I25*$D$6)/(12*INDEX(FUEL1MPG_Cls3,$A25-($A$24-1),MATCH(O$20,TECHOPTS_Cls3,0)))+IFERROR(VLOOKUP($A25,IF($D$5="Central",FuelPriceCent,FuelPriceNCent),MATCH(INDEX($G$11:$G$16,MATCH(O$20,$B$11:$B$16,0)),FuelPriceCols,0),0),0)*((1-I25)*$D$6)/(12*INDEX(FUEL2MPG_Cls3,$A25-($A$24-1),MATCH(O$20,TECHOPTS_Cls3,0)))</f>
        <v>60051.355478828358</v>
      </c>
      <c r="P25" s="276" cm="1">
        <f t="array" ref="P25">VLOOKUP($A25,IF($D$5="Central",FuelPriceCent,FuelPriceNCent),MATCH(P$21,FuelPriceCols,0),0)*(J25*$D$6)/(12*INDEX(FUEL1MPG_Cls3,$A25-($A$24-1),MATCH(P$20,TECHOPTS_Cls3,0)))+IFERROR(VLOOKUP($A25,IF($D$5="Central",FuelPriceCent,FuelPriceNCent),MATCH(INDEX($G$11:$G$16,MATCH(P$20,$B$11:$B$16,0)),FuelPriceCols,0),0),0)*((1-J25)*$D$6)/(12*INDEX(FUEL2MPG_Cls3,$A25-($A$24-1),MATCH(P$20,TECHOPTS_Cls3,0)))</f>
        <v>60051.355478828358</v>
      </c>
      <c r="Q25" s="276" cm="1">
        <f t="array" ref="Q25">VLOOKUP($A25,IF($D$5="Central",FuelPriceCent,FuelPriceNCent),MATCH(Q$21,FuelPriceCols,0),0)*(K25*$D$6)/(12*INDEX(FUEL1MPG_Cls3,$A25-($A$24-1),MATCH(Q$20,TECHOPTS_Cls3,0)))+IFERROR(VLOOKUP($A25,IF($D$5="Central",FuelPriceCent,FuelPriceNCent),MATCH(INDEX($G$11:$G$16,MATCH(Q$20,$B$11:$B$16,0)),FuelPriceCols,0),0),0)*((1-K25)*$D$6)/(12*INDEX(FUEL2MPG_Cls3,$A25-($A$24-1),MATCH(Q$20,TECHOPTS_Cls3,0)))</f>
        <v>216200.70203249998</v>
      </c>
      <c r="R25" s="276" cm="1">
        <f t="array" ref="R25">VLOOKUP($A25,IF($D$5="Central",FuelPriceCent,FuelPriceNCent),MATCH(R$21,FuelPriceCols,0),0)*(L25*$D$6)/(12*INDEX(FUEL1MPG_Cls3,$A25-($A$24-1),MATCH(R$20,TECHOPTS_Cls3,0)))+IFERROR(VLOOKUP($A25,IF($D$5="Central",FuelPriceCent,FuelPriceNCent),MATCH(INDEX($G$11:$G$16,MATCH(R$20,$B$11:$B$16,0)),FuelPriceCols,0),0),0)*((1-L25)*$D$6)/(12*INDEX(FUEL2MPG_Cls3,$A25-($A$24-1),MATCH(R$20,TECHOPTS_Cls3,0)))</f>
        <v>232544.70938897168</v>
      </c>
      <c r="S25" s="278" cm="1">
        <f t="array" ref="S25">VLOOKUP($A25,IF($D$5="Central",FuelPriceCent,FuelPriceNCent),MATCH(S$21,FuelPriceCols,0),0)*(M25*$D$6)/(12*INDEX(FUEL1MPG_Cls3,$A25-($A$24-1),MATCH(S$20,TECHOPTS_Cls3,0)))+IFERROR(VLOOKUP($A25,IF($D$5="Central",FuelPriceCent,FuelPriceNCent),MATCH(INDEX($G$11:$G$16,MATCH(S$20,$B$11:$B$16,0)),FuelPriceCols,0),0),0)*((1-M25)*$D$6)/(12*INDEX(FUEL2MPG_Cls3,$A25-($A$24-1),MATCH(S$20,TECHOPTS_Cls3,0)))</f>
        <v>60051.355478828358</v>
      </c>
      <c r="T25" s="289">
        <f t="shared" si="30"/>
        <v>-49921.019209113227</v>
      </c>
      <c r="U25" s="290">
        <f t="shared" si="31"/>
        <v>-49921.019209113227</v>
      </c>
      <c r="V25" s="290">
        <f t="shared" si="32"/>
        <v>-206070.36576278484</v>
      </c>
      <c r="W25" s="290">
        <f t="shared" si="33"/>
        <v>-222414.37311925655</v>
      </c>
      <c r="X25" s="292">
        <f t="shared" si="34"/>
        <v>-49921.019209113227</v>
      </c>
      <c r="Y25" s="279" cm="1">
        <f t="array" aca="1" ref="Y25" ca="1">IF(AND(Y$22=TRUE,INDEX(CDRANGE_CLS3,MATCH($A25,$A$24:$A$67,0),MATCH(Y$20,$B$20:$G$20,0))&lt;$D$6/OPDAYS_Cls3),86,payback(C25,T25,disc_rate/12,85))</f>
        <v>86</v>
      </c>
      <c r="Z25" s="280" cm="1">
        <f t="array" aca="1" ref="Z25" ca="1">IF(AND(Z$22=TRUE,INDEX(CDRANGE_CLS3,MATCH($A25,$A$24:$A$67,0),MATCH(Z$20,$B$20:$G$20,0))&lt;$D$6/OPDAYS_Cls3),86,payback(D25,U25,disc_rate/12,85))</f>
        <v>86</v>
      </c>
      <c r="AA25" s="280" cm="1">
        <f t="array" ref="AA25">IF(AND(AA$22=TRUE,INDEX(CDRANGE_CLS3,MATCH($A25,$A$24:$A$67,0),MATCH(AA$20,$B$20:$G$20,0))&lt;$D$6/OPDAYS_Cls3),86,payback(E25,V25,disc_rate/12,85))</f>
        <v>86</v>
      </c>
      <c r="AB25" s="280" cm="1">
        <f t="array" aca="1" ref="AB25" ca="1">IF(AND(AB$22=TRUE,INDEX(CDRANGE_CLS3,MATCH($A25,$A$24:$A$67,0),MATCH(AB$20,$B$20:$G$20,0))&lt;$D$6/OPDAYS_Cls3),86,payback(F25,W25,disc_rate/12,85))</f>
        <v>86</v>
      </c>
      <c r="AC25" s="281" cm="1">
        <f t="array" aca="1" ref="AC25" ca="1">IF(AND(AC$22=TRUE,INDEX(CDRANGE_CLS3,MATCH($A25,$A$24:$A$67,0),MATCH(AC$20,$B$20:$G$20,0))&lt;$D$6/OPDAYS_Cls3),86,payback(G25,X25,disc_rate/12,85))</f>
        <v>86</v>
      </c>
      <c r="AD25" s="296">
        <f t="shared" si="35"/>
        <v>0</v>
      </c>
      <c r="AE25" s="297">
        <f t="shared" si="36"/>
        <v>0</v>
      </c>
      <c r="AF25" s="297">
        <f t="shared" si="37"/>
        <v>0</v>
      </c>
      <c r="AG25" s="297">
        <f t="shared" si="38"/>
        <v>0</v>
      </c>
      <c r="AH25" s="597">
        <f t="shared" si="39"/>
        <v>0</v>
      </c>
      <c r="AI25" s="299" cm="1">
        <f t="array" ref="AI25">IF($A25&lt;AI$23,0,AI$21+VLOOKUP($A25-AI$23,SCdata,2,1)*(AI$22-AI$21))*IF($D$5="Non-Central",INDEX(fuel_avail,$A25-$A$24+1,MATCH(O$21,Fuels,0)),1)</f>
        <v>0</v>
      </c>
      <c r="AJ25" s="300" cm="1">
        <f t="array" ref="AJ25">IF($A25&lt;AJ$23,0,AJ$21+VLOOKUP($A25-AJ$23,SCdata,2,1)*(AJ$22-AJ$21))*IF($D$5="Non-Central",INDEX(fuel_avail,$A25-$A$24+1,MATCH(P$21,Fuels,0)),1)</f>
        <v>0</v>
      </c>
      <c r="AK25" s="300" cm="1">
        <f t="array" ref="AK25">IF($A25&lt;AK$23,0,AK$21+VLOOKUP($A25-AK$23,SCdata,2,1)*(AK$22-AK$21))*IF($D$5="Non-Central",INDEX(fuel_avail,$A25-$A$24+1,MATCH(Q$21,Fuels,0)),1)</f>
        <v>0</v>
      </c>
      <c r="AL25" s="300" cm="1">
        <f t="array" ref="AL25">IF($A25&lt;AL$23,0,AL$21+VLOOKUP($A25-AL$23,SCdata,2,1)*(AL$22-AL$21))*IF($D$5="Non-Central",INDEX(fuel_avail,$A25-$A$24+1,MATCH(R$21,Fuels,0)),1)</f>
        <v>0</v>
      </c>
      <c r="AM25" s="301" cm="1">
        <f t="array" ref="AM25">IF($A25&lt;AM$23,0,AM$21+VLOOKUP($A25-AM$23,SCdata,2,1)*(AM$22-AM$21))*IF($D$5="Non-Central",INDEX(fuel_avail,$A25-$A$24+1,MATCH(S$21,Fuels,0)),1)</f>
        <v>0</v>
      </c>
      <c r="AN25" s="299">
        <f t="shared" ref="AN25:AR67" si="52">IF(C25&lt;0,1,$AQ$17*(1-WEIBULL(C25/$B25,$AO$17,$AO$18,1)))</f>
        <v>0</v>
      </c>
      <c r="AO25" s="300">
        <f t="shared" si="40"/>
        <v>0</v>
      </c>
      <c r="AP25" s="300">
        <f t="shared" si="40"/>
        <v>0</v>
      </c>
      <c r="AQ25" s="300">
        <f t="shared" si="40"/>
        <v>0</v>
      </c>
      <c r="AR25" s="301">
        <f t="shared" si="40"/>
        <v>0</v>
      </c>
      <c r="AS25" s="296">
        <f t="shared" ca="1" si="41"/>
        <v>0</v>
      </c>
      <c r="AT25" s="297">
        <f t="shared" ca="1" si="42"/>
        <v>0</v>
      </c>
      <c r="AU25" s="297">
        <f t="shared" si="43"/>
        <v>0</v>
      </c>
      <c r="AV25" s="297">
        <f t="shared" ca="1" si="44"/>
        <v>0</v>
      </c>
      <c r="AW25" s="298">
        <f t="shared" ca="1" si="45"/>
        <v>0</v>
      </c>
      <c r="AX25" s="757">
        <f t="shared" ca="1" si="46"/>
        <v>0</v>
      </c>
      <c r="AY25" s="297">
        <f t="shared" ca="1" si="46"/>
        <v>0</v>
      </c>
      <c r="AZ25" s="297">
        <f t="shared" si="46"/>
        <v>0</v>
      </c>
      <c r="BA25" s="297">
        <f t="shared" ca="1" si="46"/>
        <v>0</v>
      </c>
      <c r="BB25" s="597">
        <f t="shared" ca="1" si="46"/>
        <v>0</v>
      </c>
      <c r="BC25" s="296">
        <f t="shared" ref="BC25:BC67" ca="1" si="53">1-SUM(BD25:BH25)</f>
        <v>1</v>
      </c>
      <c r="BD25" s="297">
        <f t="shared" ca="1" si="47"/>
        <v>0</v>
      </c>
      <c r="BE25" s="297">
        <f t="shared" ca="1" si="48"/>
        <v>0</v>
      </c>
      <c r="BF25" s="297">
        <f t="shared" ca="1" si="49"/>
        <v>0</v>
      </c>
      <c r="BG25" s="297">
        <f t="shared" ca="1" si="50"/>
        <v>0</v>
      </c>
      <c r="BH25" s="298">
        <f t="shared" ca="1" si="51"/>
        <v>0</v>
      </c>
    </row>
    <row r="26" spans="1:60" x14ac:dyDescent="0.2">
      <c r="A26" s="288">
        <v>2009</v>
      </c>
      <c r="B26" s="811" cm="1">
        <f t="array" ref="B26">ROUND(INDEX(COST_Cls3,$A26-($A$24-1),MATCH(B$20,TECHOPTS_Cls3,0)),2)</f>
        <v>81898</v>
      </c>
      <c r="C26" s="812" cm="1">
        <f t="array" ref="C26">ROUND(INDEX(COST_Cls3,$A26-($A$24-1),MATCH(C$20,TECHOPTS_Cls3,0)),2)</f>
        <v>1000000</v>
      </c>
      <c r="D26" s="812" cm="1">
        <f t="array" ref="D26">ROUND(INDEX(COST_Cls3,$A26-($A$24-1),MATCH(D$20,TECHOPTS_Cls3,0)),2)</f>
        <v>1000000</v>
      </c>
      <c r="E26" s="812" cm="1">
        <f t="array" ref="E26">ROUND(INDEX(COST_Cls3,$A26-($A$24-1),MATCH(E$20,TECHOPTS_Cls3,0)),2)</f>
        <v>1000000</v>
      </c>
      <c r="F26" s="812" cm="1">
        <f t="array" ref="F26">ROUND(INDEX(COST_Cls3,$A26-($A$24-1),MATCH(F$20,TECHOPTS_Cls3,0)),2)</f>
        <v>1000000</v>
      </c>
      <c r="G26" s="813" cm="1">
        <f t="array" ref="G26">ROUND(INDEX(COST_Cls3,$A26-($A$24-1),MATCH(G$20,TECHOPTS_Cls3,0)),2)</f>
        <v>1000000</v>
      </c>
      <c r="H26" s="781" cm="1">
        <f t="array" ref="H26">IF(H$21="Single-fuel",1,1-MIN(INDEX(CDRANGE_CLS3,$A26-($A$24-1),MATCH(H$20,TECHOPTS_Cls3,0))*OPDAYS_Cls3/$D$6,1))</f>
        <v>1</v>
      </c>
      <c r="I26" s="782" cm="1">
        <f t="array" ref="I26">IF(I$21="Single-fuel",1,1-MIN(INDEX(CDRANGE_CLS3,$A26-($A$24-1),MATCH(I$20,TECHOPTS_Cls3,0))*OPDAYS_Cls3/$D$6,1))</f>
        <v>1</v>
      </c>
      <c r="J26" s="782" cm="1">
        <f t="array" ref="J26">IF(J$21="Single-fuel",1,1-MIN(INDEX(CDRANGE_CLS3,$A26-($A$24-1),MATCH(J$20,TECHOPTS_Cls3,0))*OPDAYS_Cls3/$D$6,1))</f>
        <v>1</v>
      </c>
      <c r="K26" s="782" cm="1">
        <f t="array" ref="K26">IF(K$21="Single-fuel",1,1-MIN(INDEX(CDRANGE_CLS3,$A26-($A$24-1),MATCH(K$20,TECHOPTS_Cls3,0))*OPDAYS_Cls3/$D$6,1))</f>
        <v>1</v>
      </c>
      <c r="L26" s="782" cm="1">
        <f t="array" ref="L26">IF(L$21="Single-fuel",1,1-MIN(INDEX(CDRANGE_CLS3,$A26-($A$24-1),MATCH(L$20,TECHOPTS_Cls3,0))*OPDAYS_Cls3/$D$6,1))</f>
        <v>1</v>
      </c>
      <c r="M26" s="783" cm="1">
        <f t="array" ref="M26">IF(M$21="Single-fuel",1,1-MIN(INDEX(CDRANGE_CLS3,$A26-($A$24-1),MATCH(M$20,TECHOPTS_Cls3,0))*OPDAYS_Cls3/$D$6,1))</f>
        <v>1</v>
      </c>
      <c r="N26" s="733" cm="1">
        <f t="array" ref="N26">VLOOKUP($A26,IF($D$5="Central",FuelPriceCent,FuelPriceNCent),MATCH(N$21,FuelPriceCols,0),0)*(H26*$D$6)/(12*INDEX(FUEL1MPG_Cls3,$A26-($A$24-1),MATCH(N$20,TECHOPTS_Cls3,0)))+IFERROR(VLOOKUP($A26,IF($D$5="Central",FuelPriceCent,FuelPriceNCent),MATCH(INDEX($G$11:$G$16,MATCH(N$20,$B$11:$B$16,0)),FuelPriceCols,0),0),0)*((1-H26)*$D$6)/(12*INDEX(FUEL2MPG_Cls3,$A26-($A$24-1),MATCH(N$20,TECHOPTS_Cls3,0)))</f>
        <v>6547.8474218845431</v>
      </c>
      <c r="O26" s="276" cm="1">
        <f t="array" ref="O26">VLOOKUP($A26,IF($D$5="Central",FuelPriceCent,FuelPriceNCent),MATCH(O$21,FuelPriceCols,0),0)*(I26*$D$6)/(12*INDEX(FUEL1MPG_Cls3,$A26-($A$24-1),MATCH(O$20,TECHOPTS_Cls3,0)))+IFERROR(VLOOKUP($A26,IF($D$5="Central",FuelPriceCent,FuelPriceNCent),MATCH(INDEX($G$11:$G$16,MATCH(O$20,$B$11:$B$16,0)),FuelPriceCols,0),0),0)*((1-I26)*$D$6)/(12*INDEX(FUEL2MPG_Cls3,$A26-($A$24-1),MATCH(O$20,TECHOPTS_Cls3,0)))</f>
        <v>38814.81351494915</v>
      </c>
      <c r="P26" s="276" cm="1">
        <f t="array" ref="P26">VLOOKUP($A26,IF($D$5="Central",FuelPriceCent,FuelPriceNCent),MATCH(P$21,FuelPriceCols,0),0)*(J26*$D$6)/(12*INDEX(FUEL1MPG_Cls3,$A26-($A$24-1),MATCH(P$20,TECHOPTS_Cls3,0)))+IFERROR(VLOOKUP($A26,IF($D$5="Central",FuelPriceCent,FuelPriceNCent),MATCH(INDEX($G$11:$G$16,MATCH(P$20,$B$11:$B$16,0)),FuelPriceCols,0),0),0)*((1-J26)*$D$6)/(12*INDEX(FUEL2MPG_Cls3,$A26-($A$24-1),MATCH(P$20,TECHOPTS_Cls3,0)))</f>
        <v>38814.81351494915</v>
      </c>
      <c r="Q26" s="276" cm="1">
        <f t="array" ref="Q26">VLOOKUP($A26,IF($D$5="Central",FuelPriceCent,FuelPriceNCent),MATCH(Q$21,FuelPriceCols,0),0)*(K26*$D$6)/(12*INDEX(FUEL1MPG_Cls3,$A26-($A$24-1),MATCH(Q$20,TECHOPTS_Cls3,0)))+IFERROR(VLOOKUP($A26,IF($D$5="Central",FuelPriceCent,FuelPriceNCent),MATCH(INDEX($G$11:$G$16,MATCH(Q$20,$B$11:$B$16,0)),FuelPriceCols,0),0),0)*((1-K26)*$D$6)/(12*INDEX(FUEL2MPG_Cls3,$A26-($A$24-1),MATCH(Q$20,TECHOPTS_Cls3,0)))</f>
        <v>323988.06783000001</v>
      </c>
      <c r="R26" s="276" cm="1">
        <f t="array" ref="R26">VLOOKUP($A26,IF($D$5="Central",FuelPriceCent,FuelPriceNCent),MATCH(R$21,FuelPriceCols,0),0)*(L26*$D$6)/(12*INDEX(FUEL1MPG_Cls3,$A26-($A$24-1),MATCH(R$20,TECHOPTS_Cls3,0)))+IFERROR(VLOOKUP($A26,IF($D$5="Central",FuelPriceCent,FuelPriceNCent),MATCH(INDEX($G$11:$G$16,MATCH(R$20,$B$11:$B$16,0)),FuelPriceCols,0),0),0)*((1-L26)*$D$6)/(12*INDEX(FUEL2MPG_Cls3,$A26-($A$24-1),MATCH(R$20,TECHOPTS_Cls3,0)))</f>
        <v>232544.70938897168</v>
      </c>
      <c r="S26" s="278" cm="1">
        <f t="array" ref="S26">VLOOKUP($A26,IF($D$5="Central",FuelPriceCent,FuelPriceNCent),MATCH(S$21,FuelPriceCols,0),0)*(M26*$D$6)/(12*INDEX(FUEL1MPG_Cls3,$A26-($A$24-1),MATCH(S$20,TECHOPTS_Cls3,0)))+IFERROR(VLOOKUP($A26,IF($D$5="Central",FuelPriceCent,FuelPriceNCent),MATCH(INDEX($G$11:$G$16,MATCH(S$20,$B$11:$B$16,0)),FuelPriceCols,0),0),0)*((1-M26)*$D$6)/(12*INDEX(FUEL2MPG_Cls3,$A26-($A$24-1),MATCH(S$20,TECHOPTS_Cls3,0)))</f>
        <v>38814.81351494915</v>
      </c>
      <c r="T26" s="289">
        <f t="shared" si="30"/>
        <v>-32266.966093064606</v>
      </c>
      <c r="U26" s="290">
        <f t="shared" si="31"/>
        <v>-32266.966093064606</v>
      </c>
      <c r="V26" s="290">
        <f t="shared" si="32"/>
        <v>-317440.22040811548</v>
      </c>
      <c r="W26" s="290">
        <f t="shared" si="33"/>
        <v>-225996.86196708714</v>
      </c>
      <c r="X26" s="292">
        <f t="shared" si="34"/>
        <v>-32266.966093064606</v>
      </c>
      <c r="Y26" s="279" cm="1">
        <f t="array" aca="1" ref="Y26" ca="1">IF(AND(Y$22=TRUE,INDEX(CDRANGE_CLS3,MATCH($A26,$A$24:$A$67,0),MATCH(Y$20,$B$20:$G$20,0))&lt;$D$6/OPDAYS_Cls3),86,payback(C26,T26,disc_rate/12,85))</f>
        <v>86</v>
      </c>
      <c r="Z26" s="280" cm="1">
        <f t="array" aca="1" ref="Z26" ca="1">IF(AND(Z$22=TRUE,INDEX(CDRANGE_CLS3,MATCH($A26,$A$24:$A$67,0),MATCH(Z$20,$B$20:$G$20,0))&lt;$D$6/OPDAYS_Cls3),86,payback(D26,U26,disc_rate/12,85))</f>
        <v>86</v>
      </c>
      <c r="AA26" s="280" cm="1">
        <f t="array" ref="AA26">IF(AND(AA$22=TRUE,INDEX(CDRANGE_CLS3,MATCH($A26,$A$24:$A$67,0),MATCH(AA$20,$B$20:$G$20,0))&lt;$D$6/OPDAYS_Cls3),86,payback(E26,V26,disc_rate/12,85))</f>
        <v>86</v>
      </c>
      <c r="AB26" s="280" cm="1">
        <f t="array" aca="1" ref="AB26" ca="1">IF(AND(AB$22=TRUE,INDEX(CDRANGE_CLS3,MATCH($A26,$A$24:$A$67,0),MATCH(AB$20,$B$20:$G$20,0))&lt;$D$6/OPDAYS_Cls3),86,payback(F26,W26,disc_rate/12,85))</f>
        <v>86</v>
      </c>
      <c r="AC26" s="281" cm="1">
        <f t="array" aca="1" ref="AC26" ca="1">IF(AND(AC$22=TRUE,INDEX(CDRANGE_CLS3,MATCH($A26,$A$24:$A$67,0),MATCH(AC$20,$B$20:$G$20,0))&lt;$D$6/OPDAYS_Cls3),86,payback(G26,X26,disc_rate/12,85))</f>
        <v>86</v>
      </c>
      <c r="AD26" s="296">
        <f t="shared" si="35"/>
        <v>0</v>
      </c>
      <c r="AE26" s="297">
        <f t="shared" si="36"/>
        <v>0</v>
      </c>
      <c r="AF26" s="297">
        <f t="shared" si="37"/>
        <v>0</v>
      </c>
      <c r="AG26" s="297">
        <f t="shared" si="38"/>
        <v>0</v>
      </c>
      <c r="AH26" s="597">
        <f t="shared" si="39"/>
        <v>0</v>
      </c>
      <c r="AI26" s="299" cm="1">
        <f t="array" ref="AI26">IF($A26&lt;AI$23,0,AI$21+VLOOKUP($A26-AI$23,SCdata,2,1)*(AI$22-AI$21))*IF($D$5="Non-Central",INDEX(fuel_avail,$A26-$A$24+1,MATCH(O$21,Fuels,0)),1)</f>
        <v>0</v>
      </c>
      <c r="AJ26" s="300" cm="1">
        <f t="array" ref="AJ26">IF($A26&lt;AJ$23,0,AJ$21+VLOOKUP($A26-AJ$23,SCdata,2,1)*(AJ$22-AJ$21))*IF($D$5="Non-Central",INDEX(fuel_avail,$A26-$A$24+1,MATCH(P$21,Fuels,0)),1)</f>
        <v>0</v>
      </c>
      <c r="AK26" s="300" cm="1">
        <f t="array" ref="AK26">IF($A26&lt;AK$23,0,AK$21+VLOOKUP($A26-AK$23,SCdata,2,1)*(AK$22-AK$21))*IF($D$5="Non-Central",INDEX(fuel_avail,$A26-$A$24+1,MATCH(Q$21,Fuels,0)),1)</f>
        <v>0</v>
      </c>
      <c r="AL26" s="300" cm="1">
        <f t="array" ref="AL26">IF($A26&lt;AL$23,0,AL$21+VLOOKUP($A26-AL$23,SCdata,2,1)*(AL$22-AL$21))*IF($D$5="Non-Central",INDEX(fuel_avail,$A26-$A$24+1,MATCH(R$21,Fuels,0)),1)</f>
        <v>0</v>
      </c>
      <c r="AM26" s="301" cm="1">
        <f t="array" ref="AM26">IF($A26&lt;AM$23,0,AM$21+VLOOKUP($A26-AM$23,SCdata,2,1)*(AM$22-AM$21))*IF($D$5="Non-Central",INDEX(fuel_avail,$A26-$A$24+1,MATCH(S$21,Fuels,0)),1)</f>
        <v>0</v>
      </c>
      <c r="AN26" s="299">
        <f t="shared" si="52"/>
        <v>0</v>
      </c>
      <c r="AO26" s="300">
        <f t="shared" si="40"/>
        <v>0</v>
      </c>
      <c r="AP26" s="300">
        <f t="shared" si="40"/>
        <v>0</v>
      </c>
      <c r="AQ26" s="300">
        <f t="shared" si="40"/>
        <v>0</v>
      </c>
      <c r="AR26" s="301">
        <f t="shared" si="40"/>
        <v>0</v>
      </c>
      <c r="AS26" s="296">
        <f t="shared" ca="1" si="41"/>
        <v>0</v>
      </c>
      <c r="AT26" s="297">
        <f t="shared" ca="1" si="42"/>
        <v>0</v>
      </c>
      <c r="AU26" s="297">
        <f t="shared" si="43"/>
        <v>0</v>
      </c>
      <c r="AV26" s="297">
        <f t="shared" ca="1" si="44"/>
        <v>0</v>
      </c>
      <c r="AW26" s="298">
        <f t="shared" ca="1" si="45"/>
        <v>0</v>
      </c>
      <c r="AX26" s="757">
        <f t="shared" ca="1" si="46"/>
        <v>0</v>
      </c>
      <c r="AY26" s="297">
        <f t="shared" ca="1" si="46"/>
        <v>0</v>
      </c>
      <c r="AZ26" s="297">
        <f t="shared" si="46"/>
        <v>0</v>
      </c>
      <c r="BA26" s="297">
        <f t="shared" ca="1" si="46"/>
        <v>0</v>
      </c>
      <c r="BB26" s="597">
        <f t="shared" ca="1" si="46"/>
        <v>0</v>
      </c>
      <c r="BC26" s="296">
        <f t="shared" ca="1" si="53"/>
        <v>1</v>
      </c>
      <c r="BD26" s="297">
        <f t="shared" ca="1" si="47"/>
        <v>0</v>
      </c>
      <c r="BE26" s="297">
        <f t="shared" ca="1" si="48"/>
        <v>0</v>
      </c>
      <c r="BF26" s="297">
        <f t="shared" ca="1" si="49"/>
        <v>0</v>
      </c>
      <c r="BG26" s="297">
        <f t="shared" ca="1" si="50"/>
        <v>0</v>
      </c>
      <c r="BH26" s="298">
        <f t="shared" ca="1" si="51"/>
        <v>0</v>
      </c>
    </row>
    <row r="27" spans="1:60" ht="13.5" thickBot="1" x14ac:dyDescent="0.25">
      <c r="A27" s="618">
        <v>2010</v>
      </c>
      <c r="B27" s="814" cm="1">
        <f t="array" ref="B27">ROUND(INDEX(COST_Cls3,$A27-($A$24-1),MATCH(B$20,TECHOPTS_Cls3,0)),2)</f>
        <v>81898</v>
      </c>
      <c r="C27" s="815" cm="1">
        <f t="array" ref="C27">ROUND(INDEX(COST_Cls3,$A27-($A$24-1),MATCH(C$20,TECHOPTS_Cls3,0)),2)</f>
        <v>1000000</v>
      </c>
      <c r="D27" s="815" cm="1">
        <f t="array" ref="D27">ROUND(INDEX(COST_Cls3,$A27-($A$24-1),MATCH(D$20,TECHOPTS_Cls3,0)),2)</f>
        <v>1000000</v>
      </c>
      <c r="E27" s="815" cm="1">
        <f t="array" ref="E27">ROUND(INDEX(COST_Cls3,$A27-($A$24-1),MATCH(E$20,TECHOPTS_Cls3,0)),2)</f>
        <v>1000000</v>
      </c>
      <c r="F27" s="815" cm="1">
        <f t="array" ref="F27">ROUND(INDEX(COST_Cls3,$A27-($A$24-1),MATCH(F$20,TECHOPTS_Cls3,0)),2)</f>
        <v>1000000</v>
      </c>
      <c r="G27" s="816" cm="1">
        <f t="array" ref="G27">ROUND(INDEX(COST_Cls3,$A27-($A$24-1),MATCH(G$20,TECHOPTS_Cls3,0)),2)</f>
        <v>1000000</v>
      </c>
      <c r="H27" s="781" cm="1">
        <f t="array" ref="H27">IF(H$21="Single-fuel",1,1-MIN(INDEX(CDRANGE_CLS3,$A27-($A$24-1),MATCH(H$20,TECHOPTS_Cls3,0))*OPDAYS_Cls3/$D$6,1))</f>
        <v>1</v>
      </c>
      <c r="I27" s="782" cm="1">
        <f t="array" ref="I27">IF(I$21="Single-fuel",1,1-MIN(INDEX(CDRANGE_CLS3,$A27-($A$24-1),MATCH(I$20,TECHOPTS_Cls3,0))*OPDAYS_Cls3/$D$6,1))</f>
        <v>1</v>
      </c>
      <c r="J27" s="782" cm="1">
        <f t="array" ref="J27">IF(J$21="Single-fuel",1,1-MIN(INDEX(CDRANGE_CLS3,$A27-($A$24-1),MATCH(J$20,TECHOPTS_Cls3,0))*OPDAYS_Cls3/$D$6,1))</f>
        <v>1</v>
      </c>
      <c r="K27" s="782" cm="1">
        <f t="array" ref="K27">IF(K$21="Single-fuel",1,1-MIN(INDEX(CDRANGE_CLS3,$A27-($A$24-1),MATCH(K$20,TECHOPTS_Cls3,0))*OPDAYS_Cls3/$D$6,1))</f>
        <v>1</v>
      </c>
      <c r="L27" s="782" cm="1">
        <f t="array" ref="L27">IF(L$21="Single-fuel",1,1-MIN(INDEX(CDRANGE_CLS3,$A27-($A$24-1),MATCH(L$20,TECHOPTS_Cls3,0))*OPDAYS_Cls3/$D$6,1))</f>
        <v>1</v>
      </c>
      <c r="M27" s="783" cm="1">
        <f t="array" ref="M27">IF(M$21="Single-fuel",1,1-MIN(INDEX(CDRANGE_CLS3,$A27-($A$24-1),MATCH(M$20,TECHOPTS_Cls3,0))*OPDAYS_Cls3/$D$6,1))</f>
        <v>1</v>
      </c>
      <c r="N27" s="882" cm="1">
        <f t="array" ref="N27">VLOOKUP($A27,IF($D$5="Central",FuelPriceCent,FuelPriceNCent),MATCH(N$21,FuelPriceCols,0),0)*(H27*$D$6)/(12*INDEX(FUEL1MPG_Cls3,$A27-($A$24-1),MATCH(N$20,TECHOPTS_Cls3,0)))+IFERROR(VLOOKUP($A27,IF($D$5="Central",FuelPriceCent,FuelPriceNCent),MATCH(INDEX($G$11:$G$16,MATCH(N$20,$B$11:$B$16,0)),FuelPriceCols,0),0),0)*((1-H27)*$D$6)/(12*INDEX(FUEL2MPG_Cls3,$A27-($A$24-1),MATCH(N$20,TECHOPTS_Cls3,0)))</f>
        <v>8464.5170580842241</v>
      </c>
      <c r="O27" s="776" cm="1">
        <f t="array" ref="O27">VLOOKUP($A27,IF($D$5="Central",FuelPriceCent,FuelPriceNCent),MATCH(O$21,FuelPriceCols,0),0)*(I27*$D$6)/(12*INDEX(FUEL1MPG_Cls3,$A27-($A$24-1),MATCH(O$20,TECHOPTS_Cls3,0)))+IFERROR(VLOOKUP($A27,IF($D$5="Central",FuelPriceCent,FuelPriceNCent),MATCH(INDEX($G$11:$G$16,MATCH(O$20,$B$11:$B$16,0)),FuelPriceCols,0),0),0)*((1-I27)*$D$6)/(12*INDEX(FUEL2MPG_Cls3,$A27-($A$24-1),MATCH(O$20,TECHOPTS_Cls3,0)))</f>
        <v>47849.749582637734</v>
      </c>
      <c r="P27" s="776" cm="1">
        <f t="array" ref="P27">VLOOKUP($A27,IF($D$5="Central",FuelPriceCent,FuelPriceNCent),MATCH(P$21,FuelPriceCols,0),0)*(J27*$D$6)/(12*INDEX(FUEL1MPG_Cls3,$A27-($A$24-1),MATCH(P$20,TECHOPTS_Cls3,0)))+IFERROR(VLOOKUP($A27,IF($D$5="Central",FuelPriceCent,FuelPriceNCent),MATCH(INDEX($G$11:$G$16,MATCH(P$20,$B$11:$B$16,0)),FuelPriceCols,0),0),0)*((1-J27)*$D$6)/(12*INDEX(FUEL2MPG_Cls3,$A27-($A$24-1),MATCH(P$20,TECHOPTS_Cls3,0)))</f>
        <v>47849.749582637734</v>
      </c>
      <c r="Q27" s="776" cm="1">
        <f t="array" ref="Q27">VLOOKUP($A27,IF($D$5="Central",FuelPriceCent,FuelPriceNCent),MATCH(Q$21,FuelPriceCols,0),0)*(K27*$D$6)/(12*INDEX(FUEL1MPG_Cls3,$A27-($A$24-1),MATCH(Q$20,TECHOPTS_Cls3,0)))+IFERROR(VLOOKUP($A27,IF($D$5="Central",FuelPriceCent,FuelPriceNCent),MATCH(INDEX($G$11:$G$16,MATCH(Q$20,$B$11:$B$16,0)),FuelPriceCols,0),0),0)*((1-K27)*$D$6)/(12*INDEX(FUEL2MPG_Cls3,$A27-($A$24-1),MATCH(Q$20,TECHOPTS_Cls3,0)))</f>
        <v>233000.79674625001</v>
      </c>
      <c r="R27" s="776" cm="1">
        <f t="array" ref="R27">VLOOKUP($A27,IF($D$5="Central",FuelPriceCent,FuelPriceNCent),MATCH(R$21,FuelPriceCols,0),0)*(L27*$D$6)/(12*INDEX(FUEL1MPG_Cls3,$A27-($A$24-1),MATCH(R$20,TECHOPTS_Cls3,0)))+IFERROR(VLOOKUP($A27,IF($D$5="Central",FuelPriceCent,FuelPriceNCent),MATCH(INDEX($G$11:$G$16,MATCH(R$20,$B$11:$B$16,0)),FuelPriceCols,0),0),0)*((1-L27)*$D$6)/(12*INDEX(FUEL2MPG_Cls3,$A27-($A$24-1),MATCH(R$20,TECHOPTS_Cls3,0)))</f>
        <v>232544.70938897168</v>
      </c>
      <c r="S27" s="777" cm="1">
        <f t="array" ref="S27">VLOOKUP($A27,IF($D$5="Central",FuelPriceCent,FuelPriceNCent),MATCH(S$21,FuelPriceCols,0),0)*(M27*$D$6)/(12*INDEX(FUEL1MPG_Cls3,$A27-($A$24-1),MATCH(S$20,TECHOPTS_Cls3,0)))+IFERROR(VLOOKUP($A27,IF($D$5="Central",FuelPriceCent,FuelPriceNCent),MATCH(INDEX($G$11:$G$16,MATCH(S$20,$B$11:$B$16,0)),FuelPriceCols,0),0),0)*((1-M27)*$D$6)/(12*INDEX(FUEL2MPG_Cls3,$A27-($A$24-1),MATCH(S$20,TECHOPTS_Cls3,0)))</f>
        <v>47849.749582637734</v>
      </c>
      <c r="T27" s="303">
        <f t="shared" si="30"/>
        <v>-39385.23252455351</v>
      </c>
      <c r="U27" s="304">
        <f t="shared" si="31"/>
        <v>-39385.23252455351</v>
      </c>
      <c r="V27" s="304">
        <f t="shared" si="32"/>
        <v>-224536.27968816579</v>
      </c>
      <c r="W27" s="304">
        <f t="shared" si="33"/>
        <v>-224080.19233088745</v>
      </c>
      <c r="X27" s="306">
        <f t="shared" si="34"/>
        <v>-39385.23252455351</v>
      </c>
      <c r="Y27" s="723" cm="1">
        <f t="array" aca="1" ref="Y27" ca="1">IF(AND(Y$22=TRUE,INDEX(CDRANGE_CLS3,MATCH($A27,$A$24:$A$67,0),MATCH(Y$20,$B$20:$G$20,0))&lt;$D$6/OPDAYS_Cls3),86,payback(C27,T27,disc_rate/12,85))</f>
        <v>86</v>
      </c>
      <c r="Z27" s="724" cm="1">
        <f t="array" aca="1" ref="Z27" ca="1">IF(AND(Z$22=TRUE,INDEX(CDRANGE_CLS3,MATCH($A27,$A$24:$A$67,0),MATCH(Z$20,$B$20:$G$20,0))&lt;$D$6/OPDAYS_Cls3),86,payback(D27,U27,disc_rate/12,85))</f>
        <v>86</v>
      </c>
      <c r="AA27" s="724" cm="1">
        <f t="array" ref="AA27">IF(AND(AA$22=TRUE,INDEX(CDRANGE_CLS3,MATCH($A27,$A$24:$A$67,0),MATCH(AA$20,$B$20:$G$20,0))&lt;$D$6/OPDAYS_Cls3),86,payback(E27,V27,disc_rate/12,85))</f>
        <v>86</v>
      </c>
      <c r="AB27" s="724" cm="1">
        <f t="array" aca="1" ref="AB27" ca="1">IF(AND(AB$22=TRUE,INDEX(CDRANGE_CLS3,MATCH($A27,$A$24:$A$67,0),MATCH(AB$20,$B$20:$G$20,0))&lt;$D$6/OPDAYS_Cls3),86,payback(F27,W27,disc_rate/12,85))</f>
        <v>86</v>
      </c>
      <c r="AC27" s="891" cm="1">
        <f t="array" aca="1" ref="AC27" ca="1">IF(AND(AC$22=TRUE,INDEX(CDRANGE_CLS3,MATCH($A27,$A$24:$A$67,0),MATCH(AC$20,$B$20:$G$20,0))&lt;$D$6/OPDAYS_Cls3),86,payback(G27,X27,disc_rate/12,85))</f>
        <v>86</v>
      </c>
      <c r="AD27" s="310">
        <f t="shared" si="35"/>
        <v>0</v>
      </c>
      <c r="AE27" s="311">
        <f t="shared" si="36"/>
        <v>0</v>
      </c>
      <c r="AF27" s="311">
        <f t="shared" si="37"/>
        <v>0</v>
      </c>
      <c r="AG27" s="311">
        <f t="shared" si="38"/>
        <v>0</v>
      </c>
      <c r="AH27" s="759">
        <f t="shared" si="39"/>
        <v>0</v>
      </c>
      <c r="AI27" s="313" cm="1">
        <f t="array" ref="AI27">IF($A27&lt;AI$23,0,AI$21+VLOOKUP($A27-AI$23,SCdata,2,1)*(AI$22-AI$21))*IF($D$5="Non-Central",INDEX(fuel_avail,$A27-$A$24+1,MATCH(O$21,Fuels,0)),1)</f>
        <v>0</v>
      </c>
      <c r="AJ27" s="314" cm="1">
        <f t="array" ref="AJ27">IF($A27&lt;AJ$23,0,AJ$21+VLOOKUP($A27-AJ$23,SCdata,2,1)*(AJ$22-AJ$21))*IF($D$5="Non-Central",INDEX(fuel_avail,$A27-$A$24+1,MATCH(P$21,Fuels,0)),1)</f>
        <v>0</v>
      </c>
      <c r="AK27" s="314" cm="1">
        <f t="array" ref="AK27">IF($A27&lt;AK$23,0,AK$21+VLOOKUP($A27-AK$23,SCdata,2,1)*(AK$22-AK$21))*IF($D$5="Non-Central",INDEX(fuel_avail,$A27-$A$24+1,MATCH(Q$21,Fuels,0)),1)</f>
        <v>0</v>
      </c>
      <c r="AL27" s="314" cm="1">
        <f t="array" ref="AL27">IF($A27&lt;AL$23,0,AL$21+VLOOKUP($A27-AL$23,SCdata,2,1)*(AL$22-AL$21))*IF($D$5="Non-Central",INDEX(fuel_avail,$A27-$A$24+1,MATCH(R$21,Fuels,0)),1)</f>
        <v>0</v>
      </c>
      <c r="AM27" s="315" cm="1">
        <f t="array" ref="AM27">IF($A27&lt;AM$23,0,AM$21+VLOOKUP($A27-AM$23,SCdata,2,1)*(AM$22-AM$21))*IF($D$5="Non-Central",INDEX(fuel_avail,$A27-$A$24+1,MATCH(S$21,Fuels,0)),1)</f>
        <v>0</v>
      </c>
      <c r="AN27" s="313">
        <f t="shared" si="52"/>
        <v>0</v>
      </c>
      <c r="AO27" s="314">
        <f t="shared" si="40"/>
        <v>0</v>
      </c>
      <c r="AP27" s="314">
        <f t="shared" si="40"/>
        <v>0</v>
      </c>
      <c r="AQ27" s="314">
        <f t="shared" si="40"/>
        <v>0</v>
      </c>
      <c r="AR27" s="315">
        <f t="shared" si="40"/>
        <v>0</v>
      </c>
      <c r="AS27" s="310">
        <f t="shared" ca="1" si="41"/>
        <v>0</v>
      </c>
      <c r="AT27" s="311">
        <f t="shared" ca="1" si="42"/>
        <v>0</v>
      </c>
      <c r="AU27" s="311">
        <f t="shared" si="43"/>
        <v>0</v>
      </c>
      <c r="AV27" s="311">
        <f t="shared" ca="1" si="44"/>
        <v>0</v>
      </c>
      <c r="AW27" s="312">
        <f t="shared" ca="1" si="45"/>
        <v>0</v>
      </c>
      <c r="AX27" s="758">
        <f t="shared" ca="1" si="46"/>
        <v>0</v>
      </c>
      <c r="AY27" s="625">
        <f t="shared" ca="1" si="46"/>
        <v>0</v>
      </c>
      <c r="AZ27" s="625">
        <f t="shared" si="46"/>
        <v>0</v>
      </c>
      <c r="BA27" s="625">
        <f t="shared" ca="1" si="46"/>
        <v>0</v>
      </c>
      <c r="BB27" s="645">
        <f t="shared" ca="1" si="46"/>
        <v>0</v>
      </c>
      <c r="BC27" s="310">
        <f t="shared" ca="1" si="53"/>
        <v>1</v>
      </c>
      <c r="BD27" s="311">
        <f t="shared" ca="1" si="47"/>
        <v>0</v>
      </c>
      <c r="BE27" s="311">
        <f t="shared" ca="1" si="48"/>
        <v>0</v>
      </c>
      <c r="BF27" s="311">
        <f t="shared" ca="1" si="49"/>
        <v>0</v>
      </c>
      <c r="BG27" s="311">
        <f t="shared" ca="1" si="50"/>
        <v>0</v>
      </c>
      <c r="BH27" s="312">
        <f t="shared" ca="1" si="51"/>
        <v>0</v>
      </c>
    </row>
    <row r="28" spans="1:60" x14ac:dyDescent="0.2">
      <c r="A28" s="318">
        <v>2011</v>
      </c>
      <c r="B28" s="817" cm="1">
        <f t="array" ref="B28">ROUND(INDEX(COST_Cls3,$A28-($A$24-1),MATCH(B$20,TECHOPTS_Cls3,0)),2)</f>
        <v>81898</v>
      </c>
      <c r="C28" s="818" cm="1">
        <f t="array" ref="C28">ROUND(INDEX(COST_Cls3,$A28-($A$24-1),MATCH(C$20,TECHOPTS_Cls3,0)),2)</f>
        <v>1000000</v>
      </c>
      <c r="D28" s="818" cm="1">
        <f t="array" ref="D28">ROUND(INDEX(COST_Cls3,$A28-($A$24-1),MATCH(D$20,TECHOPTS_Cls3,0)),2)</f>
        <v>1000000</v>
      </c>
      <c r="E28" s="818" cm="1">
        <f t="array" ref="E28">ROUND(INDEX(COST_Cls3,$A28-($A$24-1),MATCH(E$20,TECHOPTS_Cls3,0)),2)</f>
        <v>1000000</v>
      </c>
      <c r="F28" s="818" cm="1">
        <f t="array" ref="F28">ROUND(INDEX(COST_Cls3,$A28-($A$24-1),MATCH(F$20,TECHOPTS_Cls3,0)),2)</f>
        <v>1000000</v>
      </c>
      <c r="G28" s="819" cm="1">
        <f t="array" ref="G28">ROUND(INDEX(COST_Cls3,$A28-($A$24-1),MATCH(G$20,TECHOPTS_Cls3,0)),2)</f>
        <v>1000000</v>
      </c>
      <c r="H28" s="781" cm="1">
        <f t="array" ref="H28">IF(H$21="Single-fuel",1,1-MIN(INDEX(CDRANGE_CLS3,$A28-($A$24-1),MATCH(H$20,TECHOPTS_Cls3,0))*OPDAYS_Cls3/$D$6,1))</f>
        <v>1</v>
      </c>
      <c r="I28" s="782" cm="1">
        <f t="array" ref="I28">IF(I$21="Single-fuel",1,1-MIN(INDEX(CDRANGE_CLS3,$A28-($A$24-1),MATCH(I$20,TECHOPTS_Cls3,0))*OPDAYS_Cls3/$D$6,1))</f>
        <v>1</v>
      </c>
      <c r="J28" s="782" cm="1">
        <f t="array" ref="J28">IF(J$21="Single-fuel",1,1-MIN(INDEX(CDRANGE_CLS3,$A28-($A$24-1),MATCH(J$20,TECHOPTS_Cls3,0))*OPDAYS_Cls3/$D$6,1))</f>
        <v>1</v>
      </c>
      <c r="K28" s="782" cm="1">
        <f t="array" ref="K28">IF(K$21="Single-fuel",1,1-MIN(INDEX(CDRANGE_CLS3,$A28-($A$24-1),MATCH(K$20,TECHOPTS_Cls3,0))*OPDAYS_Cls3/$D$6,1))</f>
        <v>1</v>
      </c>
      <c r="L28" s="782" cm="1">
        <f t="array" ref="L28">IF(L$21="Single-fuel",1,1-MIN(INDEX(CDRANGE_CLS3,$A28-($A$24-1),MATCH(L$20,TECHOPTS_Cls3,0))*OPDAYS_Cls3/$D$6,1))</f>
        <v>1</v>
      </c>
      <c r="M28" s="783" cm="1">
        <f t="array" ref="M28">IF(M$21="Single-fuel",1,1-MIN(INDEX(CDRANGE_CLS3,$A28-($A$24-1),MATCH(M$20,TECHOPTS_Cls3,0))*OPDAYS_Cls3/$D$6,1))</f>
        <v>1</v>
      </c>
      <c r="N28" s="736" cm="1">
        <f t="array" ref="N28">VLOOKUP($A28,IF($D$5="Central",FuelPriceCent,FuelPriceNCent),MATCH(N$21,FuelPriceCols,0),0)*(H28*$D$6)/(12*INDEX(FUEL1MPG_Cls3,$A28-($A$24-1),MATCH(N$20,TECHOPTS_Cls3,0)))+IFERROR(VLOOKUP($A28,IF($D$5="Central",FuelPriceCent,FuelPriceNCent),MATCH(INDEX($G$11:$G$16,MATCH(N$20,$B$11:$B$16,0)),FuelPriceCols,0),0),0)*((1-H28)*$D$6)/(12*INDEX(FUEL2MPG_Cls3,$A28-($A$24-1),MATCH(N$20,TECHOPTS_Cls3,0)))</f>
        <v>10978.838701966033</v>
      </c>
      <c r="O28" s="632" cm="1">
        <f t="array" ref="O28">VLOOKUP($A28,IF($D$5="Central",FuelPriceCent,FuelPriceNCent),MATCH(O$21,FuelPriceCols,0),0)*(I28*$D$6)/(12*INDEX(FUEL1MPG_Cls3,$A28-($A$24-1),MATCH(O$20,TECHOPTS_Cls3,0)))+IFERROR(VLOOKUP($A28,IF($D$5="Central",FuelPriceCent,FuelPriceNCent),MATCH(INDEX($G$11:$G$16,MATCH(O$20,$B$11:$B$16,0)),FuelPriceCols,0),0),0)*((1-I28)*$D$6)/(12*INDEX(FUEL2MPG_Cls3,$A28-($A$24-1),MATCH(O$20,TECHOPTS_Cls3,0)))</f>
        <v>63345.575959933216</v>
      </c>
      <c r="P28" s="632" cm="1">
        <f t="array" ref="P28">VLOOKUP($A28,IF($D$5="Central",FuelPriceCent,FuelPriceNCent),MATCH(P$21,FuelPriceCols,0),0)*(J28*$D$6)/(12*INDEX(FUEL1MPG_Cls3,$A28-($A$24-1),MATCH(P$20,TECHOPTS_Cls3,0)))+IFERROR(VLOOKUP($A28,IF($D$5="Central",FuelPriceCent,FuelPriceNCent),MATCH(INDEX($G$11:$G$16,MATCH(P$20,$B$11:$B$16,0)),FuelPriceCols,0),0),0)*((1-J28)*$D$6)/(12*INDEX(FUEL2MPG_Cls3,$A28-($A$24-1),MATCH(P$20,TECHOPTS_Cls3,0)))</f>
        <v>63345.575959933216</v>
      </c>
      <c r="Q28" s="632" cm="1">
        <f t="array" ref="Q28">VLOOKUP($A28,IF($D$5="Central",FuelPriceCent,FuelPriceNCent),MATCH(Q$21,FuelPriceCols,0),0)*(K28*$D$6)/(12*INDEX(FUEL1MPG_Cls3,$A28-($A$24-1),MATCH(Q$20,TECHOPTS_Cls3,0)))+IFERROR(VLOOKUP($A28,IF($D$5="Central",FuelPriceCent,FuelPriceNCent),MATCH(INDEX($G$11:$G$16,MATCH(Q$20,$B$11:$B$16,0)),FuelPriceCols,0),0),0)*((1-K28)*$D$6)/(12*INDEX(FUEL2MPG_Cls3,$A28-($A$24-1),MATCH(Q$20,TECHOPTS_Cls3,0)))</f>
        <v>184066.20405000003</v>
      </c>
      <c r="R28" s="632" cm="1">
        <f t="array" ref="R28">VLOOKUP($A28,IF($D$5="Central",FuelPriceCent,FuelPriceNCent),MATCH(R$21,FuelPriceCols,0),0)*(L28*$D$6)/(12*INDEX(FUEL1MPG_Cls3,$A28-($A$24-1),MATCH(R$20,TECHOPTS_Cls3,0)))+IFERROR(VLOOKUP($A28,IF($D$5="Central",FuelPriceCent,FuelPriceNCent),MATCH(INDEX($G$11:$G$16,MATCH(R$20,$B$11:$B$16,0)),FuelPriceCols,0),0),0)*((1-L28)*$D$6)/(12*INDEX(FUEL2MPG_Cls3,$A28-($A$24-1),MATCH(R$20,TECHOPTS_Cls3,0)))</f>
        <v>232544.70938897168</v>
      </c>
      <c r="S28" s="745" cm="1">
        <f t="array" ref="S28">VLOOKUP($A28,IF($D$5="Central",FuelPriceCent,FuelPriceNCent),MATCH(S$21,FuelPriceCols,0),0)*(M28*$D$6)/(12*INDEX(FUEL1MPG_Cls3,$A28-($A$24-1),MATCH(S$20,TECHOPTS_Cls3,0)))+IFERROR(VLOOKUP($A28,IF($D$5="Central",FuelPriceCent,FuelPriceNCent),MATCH(INDEX($G$11:$G$16,MATCH(S$20,$B$11:$B$16,0)),FuelPriceCols,0),0),0)*((1-M28)*$D$6)/(12*INDEX(FUEL2MPG_Cls3,$A28-($A$24-1),MATCH(S$20,TECHOPTS_Cls3,0)))</f>
        <v>63345.575959933216</v>
      </c>
      <c r="T28" s="736">
        <f t="shared" si="30"/>
        <v>-52366.737257967179</v>
      </c>
      <c r="U28" s="632">
        <f t="shared" si="31"/>
        <v>-52366.737257967179</v>
      </c>
      <c r="V28" s="632">
        <f t="shared" si="32"/>
        <v>-173087.36534803399</v>
      </c>
      <c r="W28" s="632">
        <f t="shared" si="33"/>
        <v>-221565.87068700563</v>
      </c>
      <c r="X28" s="633">
        <f t="shared" si="34"/>
        <v>-52366.737257967179</v>
      </c>
      <c r="Y28" s="634" cm="1">
        <f t="array" aca="1" ref="Y28" ca="1">IF(AND(Y$22=TRUE,INDEX(CDRANGE_CLS3,MATCH($A28,$A$24:$A$67,0),MATCH(Y$20,$B$20:$G$20,0))&lt;$D$6/OPDAYS_Cls3),86,payback(C28,T28,disc_rate/12,85))</f>
        <v>86</v>
      </c>
      <c r="Z28" s="635" cm="1">
        <f t="array" aca="1" ref="Z28" ca="1">IF(AND(Z$22=TRUE,INDEX(CDRANGE_CLS3,MATCH($A28,$A$24:$A$67,0),MATCH(Z$20,$B$20:$G$20,0))&lt;$D$6/OPDAYS_Cls3),86,payback(D28,U28,disc_rate/12,85))</f>
        <v>86</v>
      </c>
      <c r="AA28" s="635" cm="1">
        <f t="array" ref="AA28">IF(AND(AA$22=TRUE,INDEX(CDRANGE_CLS3,MATCH($A28,$A$24:$A$67,0),MATCH(AA$20,$B$20:$G$20,0))&lt;$D$6/OPDAYS_Cls3),86,payback(E28,V28,disc_rate/12,85))</f>
        <v>86</v>
      </c>
      <c r="AB28" s="635" cm="1">
        <f t="array" aca="1" ref="AB28" ca="1">IF(AND(AB$22=TRUE,INDEX(CDRANGE_CLS3,MATCH($A28,$A$24:$A$67,0),MATCH(AB$20,$B$20:$G$20,0))&lt;$D$6/OPDAYS_Cls3),86,payback(F28,W28,disc_rate/12,85))</f>
        <v>86</v>
      </c>
      <c r="AC28" s="892" cm="1">
        <f t="array" aca="1" ref="AC28" ca="1">IF(AND(AC$22=TRUE,INDEX(CDRANGE_CLS3,MATCH($A28,$A$24:$A$67,0),MATCH(AC$20,$B$20:$G$20,0))&lt;$D$6/OPDAYS_Cls3),86,payback(G28,X28,disc_rate/12,85))</f>
        <v>86</v>
      </c>
      <c r="AD28" s="637">
        <f t="shared" si="35"/>
        <v>0</v>
      </c>
      <c r="AE28" s="638">
        <f t="shared" si="36"/>
        <v>0</v>
      </c>
      <c r="AF28" s="638">
        <f t="shared" si="37"/>
        <v>0</v>
      </c>
      <c r="AG28" s="638">
        <f t="shared" si="38"/>
        <v>0</v>
      </c>
      <c r="AH28" s="639">
        <f t="shared" si="39"/>
        <v>0</v>
      </c>
      <c r="AI28" s="640" cm="1">
        <f t="array" ref="AI28">IF($A28&lt;AI$23,0,AI$21+VLOOKUP($A28-AI$23,SCdata,2,1)*(AI$22-AI$21))*IF($D$5="Non-Central",INDEX(fuel_avail,$A28-$A$24+1,MATCH(O$21,Fuels,0)),1)</f>
        <v>0</v>
      </c>
      <c r="AJ28" s="641" cm="1">
        <f t="array" ref="AJ28">IF($A28&lt;AJ$23,0,AJ$21+VLOOKUP($A28-AJ$23,SCdata,2,1)*(AJ$22-AJ$21))*IF($D$5="Non-Central",INDEX(fuel_avail,$A28-$A$24+1,MATCH(P$21,Fuels,0)),1)</f>
        <v>0</v>
      </c>
      <c r="AK28" s="641" cm="1">
        <f t="array" ref="AK28">IF($A28&lt;AK$23,0,AK$21+VLOOKUP($A28-AK$23,SCdata,2,1)*(AK$22-AK$21))*IF($D$5="Non-Central",INDEX(fuel_avail,$A28-$A$24+1,MATCH(Q$21,Fuels,0)),1)</f>
        <v>0</v>
      </c>
      <c r="AL28" s="641" cm="1">
        <f t="array" ref="AL28">IF($A28&lt;AL$23,0,AL$21+VLOOKUP($A28-AL$23,SCdata,2,1)*(AL$22-AL$21))*IF($D$5="Non-Central",INDEX(fuel_avail,$A28-$A$24+1,MATCH(R$21,Fuels,0)),1)</f>
        <v>0</v>
      </c>
      <c r="AM28" s="642" cm="1">
        <f t="array" ref="AM28">IF($A28&lt;AM$23,0,AM$21+VLOOKUP($A28-AM$23,SCdata,2,1)*(AM$22-AM$21))*IF($D$5="Non-Central",INDEX(fuel_avail,$A28-$A$24+1,MATCH(S$21,Fuels,0)),1)</f>
        <v>0</v>
      </c>
      <c r="AN28" s="643">
        <f t="shared" si="52"/>
        <v>0</v>
      </c>
      <c r="AO28" s="641">
        <f t="shared" si="40"/>
        <v>0</v>
      </c>
      <c r="AP28" s="641">
        <f t="shared" si="40"/>
        <v>0</v>
      </c>
      <c r="AQ28" s="641">
        <f t="shared" si="40"/>
        <v>0</v>
      </c>
      <c r="AR28" s="642">
        <f t="shared" si="40"/>
        <v>0</v>
      </c>
      <c r="AS28" s="637">
        <f t="shared" ca="1" si="41"/>
        <v>0</v>
      </c>
      <c r="AT28" s="638">
        <f t="shared" ca="1" si="42"/>
        <v>0</v>
      </c>
      <c r="AU28" s="638">
        <f t="shared" si="43"/>
        <v>0</v>
      </c>
      <c r="AV28" s="638">
        <f t="shared" ca="1" si="44"/>
        <v>0</v>
      </c>
      <c r="AW28" s="639">
        <f t="shared" ca="1" si="45"/>
        <v>0</v>
      </c>
      <c r="AX28" s="637">
        <f t="shared" ca="1" si="46"/>
        <v>0</v>
      </c>
      <c r="AY28" s="638">
        <f t="shared" ca="1" si="46"/>
        <v>0</v>
      </c>
      <c r="AZ28" s="638">
        <f t="shared" si="46"/>
        <v>0</v>
      </c>
      <c r="BA28" s="638">
        <f t="shared" ca="1" si="46"/>
        <v>0</v>
      </c>
      <c r="BB28" s="639">
        <f t="shared" ca="1" si="46"/>
        <v>0</v>
      </c>
      <c r="BC28" s="637">
        <f t="shared" ca="1" si="53"/>
        <v>1</v>
      </c>
      <c r="BD28" s="638">
        <f t="shared" ca="1" si="47"/>
        <v>0</v>
      </c>
      <c r="BE28" s="638">
        <f t="shared" ca="1" si="48"/>
        <v>0</v>
      </c>
      <c r="BF28" s="638">
        <f t="shared" ca="1" si="49"/>
        <v>0</v>
      </c>
      <c r="BG28" s="638">
        <f t="shared" ca="1" si="50"/>
        <v>0</v>
      </c>
      <c r="BH28" s="639">
        <f t="shared" ca="1" si="51"/>
        <v>0</v>
      </c>
    </row>
    <row r="29" spans="1:60" x14ac:dyDescent="0.2">
      <c r="A29" s="317">
        <v>2012</v>
      </c>
      <c r="B29" s="820" cm="1">
        <f t="array" ref="B29">ROUND(INDEX(COST_Cls3,$A29-($A$24-1),MATCH(B$20,TECHOPTS_Cls3,0)),2)</f>
        <v>81898</v>
      </c>
      <c r="C29" s="821" cm="1">
        <f t="array" ref="C29">ROUND(INDEX(COST_Cls3,$A29-($A$24-1),MATCH(C$20,TECHOPTS_Cls3,0)),2)</f>
        <v>1000000</v>
      </c>
      <c r="D29" s="821" cm="1">
        <f t="array" ref="D29">ROUND(INDEX(COST_Cls3,$A29-($A$24-1),MATCH(D$20,TECHOPTS_Cls3,0)),2)</f>
        <v>1000000</v>
      </c>
      <c r="E29" s="821" cm="1">
        <f t="array" ref="E29">ROUND(INDEX(COST_Cls3,$A29-($A$24-1),MATCH(E$20,TECHOPTS_Cls3,0)),2)</f>
        <v>1000000</v>
      </c>
      <c r="F29" s="821" cm="1">
        <f t="array" ref="F29">ROUND(INDEX(COST_Cls3,$A29-($A$24-1),MATCH(F$20,TECHOPTS_Cls3,0)),2)</f>
        <v>1000000</v>
      </c>
      <c r="G29" s="822" cm="1">
        <f t="array" ref="G29">ROUND(INDEX(COST_Cls3,$A29-($A$24-1),MATCH(G$20,TECHOPTS_Cls3,0)),2)</f>
        <v>1000000</v>
      </c>
      <c r="H29" s="781" cm="1">
        <f t="array" ref="H29">IF(H$21="Single-fuel",1,1-MIN(INDEX(CDRANGE_CLS3,$A29-($A$24-1),MATCH(H$20,TECHOPTS_Cls3,0))*OPDAYS_Cls3/$D$6,1))</f>
        <v>1</v>
      </c>
      <c r="I29" s="782" cm="1">
        <f t="array" ref="I29">IF(I$21="Single-fuel",1,1-MIN(INDEX(CDRANGE_CLS3,$A29-($A$24-1),MATCH(I$20,TECHOPTS_Cls3,0))*OPDAYS_Cls3/$D$6,1))</f>
        <v>1</v>
      </c>
      <c r="J29" s="782" cm="1">
        <f t="array" ref="J29">IF(J$21="Single-fuel",1,1-MIN(INDEX(CDRANGE_CLS3,$A29-($A$24-1),MATCH(J$20,TECHOPTS_Cls3,0))*OPDAYS_Cls3/$D$6,1))</f>
        <v>1</v>
      </c>
      <c r="K29" s="782" cm="1">
        <f t="array" ref="K29">IF(K$21="Single-fuel",1,1-MIN(INDEX(CDRANGE_CLS3,$A29-($A$24-1),MATCH(K$20,TECHOPTS_Cls3,0))*OPDAYS_Cls3/$D$6,1))</f>
        <v>1</v>
      </c>
      <c r="L29" s="782" cm="1">
        <f t="array" ref="L29">IF(L$21="Single-fuel",1,1-MIN(INDEX(CDRANGE_CLS3,$A29-($A$24-1),MATCH(L$20,TECHOPTS_Cls3,0))*OPDAYS_Cls3/$D$6,1))</f>
        <v>1</v>
      </c>
      <c r="M29" s="783" cm="1">
        <f t="array" ref="M29">IF(M$21="Single-fuel",1,1-MIN(INDEX(CDRANGE_CLS3,$A29-($A$24-1),MATCH(M$20,TECHOPTS_Cls3,0))*OPDAYS_Cls3/$D$6,1))</f>
        <v>1</v>
      </c>
      <c r="N29" s="733" cm="1">
        <f t="array" ref="N29">VLOOKUP($A29,IF($D$5="Central",FuelPriceCent,FuelPriceNCent),MATCH(N$21,FuelPriceCols,0),0)*(H29*$D$6)/(12*INDEX(FUEL1MPG_Cls3,$A29-($A$24-1),MATCH(N$20,TECHOPTS_Cls3,0)))+IFERROR(VLOOKUP($A29,IF($D$5="Central",FuelPriceCent,FuelPriceNCent),MATCH(INDEX($G$11:$G$16,MATCH(N$20,$B$11:$B$16,0)),FuelPriceCols,0),0),0)*((1-H29)*$D$6)/(12*INDEX(FUEL2MPG_Cls3,$A29-($A$24-1),MATCH(N$20,TECHOPTS_Cls3,0)))</f>
        <v>11488.35744587863</v>
      </c>
      <c r="O29" s="276" cm="1">
        <f t="array" ref="O29">VLOOKUP($A29,IF($D$5="Central",FuelPriceCent,FuelPriceNCent),MATCH(O$21,FuelPriceCols,0),0)*(I29*$D$6)/(12*INDEX(FUEL1MPG_Cls3,$A29-($A$24-1),MATCH(O$20,TECHOPTS_Cls3,0)))+IFERROR(VLOOKUP($A29,IF($D$5="Central",FuelPriceCent,FuelPriceNCent),MATCH(INDEX($G$11:$G$16,MATCH(O$20,$B$11:$B$16,0)),FuelPriceCols,0),0),0)*((1-I29)*$D$6)/(12*INDEX(FUEL2MPG_Cls3,$A29-($A$24-1),MATCH(O$20,TECHOPTS_Cls3,0)))</f>
        <v>66812.080740628313</v>
      </c>
      <c r="P29" s="276" cm="1">
        <f t="array" ref="P29">VLOOKUP($A29,IF($D$5="Central",FuelPriceCent,FuelPriceNCent),MATCH(P$21,FuelPriceCols,0),0)*(J29*$D$6)/(12*INDEX(FUEL1MPG_Cls3,$A29-($A$24-1),MATCH(P$20,TECHOPTS_Cls3,0)))+IFERROR(VLOOKUP($A29,IF($D$5="Central",FuelPriceCent,FuelPriceNCent),MATCH(INDEX($G$11:$G$16,MATCH(P$20,$B$11:$B$16,0)),FuelPriceCols,0),0),0)*((1-J29)*$D$6)/(12*INDEX(FUEL2MPG_Cls3,$A29-($A$24-1),MATCH(P$20,TECHOPTS_Cls3,0)))</f>
        <v>66812.080740628313</v>
      </c>
      <c r="Q29" s="276" cm="1">
        <f t="array" ref="Q29">VLOOKUP($A29,IF($D$5="Central",FuelPriceCent,FuelPriceNCent),MATCH(Q$21,FuelPriceCols,0),0)*(K29*$D$6)/(12*INDEX(FUEL1MPG_Cls3,$A29-($A$24-1),MATCH(Q$20,TECHOPTS_Cls3,0)))+IFERROR(VLOOKUP($A29,IF($D$5="Central",FuelPriceCent,FuelPriceNCent),MATCH(INDEX($G$11:$G$16,MATCH(Q$20,$B$11:$B$16,0)),FuelPriceCols,0),0),0)*((1-K29)*$D$6)/(12*INDEX(FUEL2MPG_Cls3,$A29-($A$24-1),MATCH(Q$20,TECHOPTS_Cls3,0)))</f>
        <v>157332.03911249997</v>
      </c>
      <c r="R29" s="276" cm="1">
        <f t="array" ref="R29">VLOOKUP($A29,IF($D$5="Central",FuelPriceCent,FuelPriceNCent),MATCH(R$21,FuelPriceCols,0),0)*(L29*$D$6)/(12*INDEX(FUEL1MPG_Cls3,$A29-($A$24-1),MATCH(R$20,TECHOPTS_Cls3,0)))+IFERROR(VLOOKUP($A29,IF($D$5="Central",FuelPriceCent,FuelPriceNCent),MATCH(INDEX($G$11:$G$16,MATCH(R$20,$B$11:$B$16,0)),FuelPriceCols,0),0),0)*((1-L29)*$D$6)/(12*INDEX(FUEL2MPG_Cls3,$A29-($A$24-1),MATCH(R$20,TECHOPTS_Cls3,0)))</f>
        <v>232544.70938897168</v>
      </c>
      <c r="S29" s="278" cm="1">
        <f t="array" ref="S29">VLOOKUP($A29,IF($D$5="Central",FuelPriceCent,FuelPriceNCent),MATCH(S$21,FuelPriceCols,0),0)*(M29*$D$6)/(12*INDEX(FUEL1MPG_Cls3,$A29-($A$24-1),MATCH(S$20,TECHOPTS_Cls3,0)))+IFERROR(VLOOKUP($A29,IF($D$5="Central",FuelPriceCent,FuelPriceNCent),MATCH(INDEX($G$11:$G$16,MATCH(S$20,$B$11:$B$16,0)),FuelPriceCols,0),0),0)*((1-M29)*$D$6)/(12*INDEX(FUEL2MPG_Cls3,$A29-($A$24-1),MATCH(S$20,TECHOPTS_Cls3,0)))</f>
        <v>66812.080740628313</v>
      </c>
      <c r="T29" s="734">
        <f t="shared" si="30"/>
        <v>-55323.723294749681</v>
      </c>
      <c r="U29" s="290">
        <f t="shared" si="31"/>
        <v>-55323.723294749681</v>
      </c>
      <c r="V29" s="290">
        <f t="shared" si="32"/>
        <v>-145843.68166662136</v>
      </c>
      <c r="W29" s="290">
        <f t="shared" si="33"/>
        <v>-221056.35194309306</v>
      </c>
      <c r="X29" s="291">
        <f t="shared" si="34"/>
        <v>-55323.723294749681</v>
      </c>
      <c r="Y29" s="279" cm="1">
        <f t="array" aca="1" ref="Y29" ca="1">IF(AND(Y$22=TRUE,INDEX(CDRANGE_CLS3,MATCH($A29,$A$24:$A$67,0),MATCH(Y$20,$B$20:$G$20,0))&lt;$D$6/OPDAYS_Cls3),86,payback(C29,T29,disc_rate/12,85))</f>
        <v>86</v>
      </c>
      <c r="Z29" s="280" cm="1">
        <f t="array" aca="1" ref="Z29" ca="1">IF(AND(Z$22=TRUE,INDEX(CDRANGE_CLS3,MATCH($A29,$A$24:$A$67,0),MATCH(Z$20,$B$20:$G$20,0))&lt;$D$6/OPDAYS_Cls3),86,payback(D29,U29,disc_rate/12,85))</f>
        <v>86</v>
      </c>
      <c r="AA29" s="280" cm="1">
        <f t="array" ref="AA29">IF(AND(AA$22=TRUE,INDEX(CDRANGE_CLS3,MATCH($A29,$A$24:$A$67,0),MATCH(AA$20,$B$20:$G$20,0))&lt;$D$6/OPDAYS_Cls3),86,payback(E29,V29,disc_rate/12,85))</f>
        <v>86</v>
      </c>
      <c r="AB29" s="280" cm="1">
        <f t="array" aca="1" ref="AB29" ca="1">IF(AND(AB$22=TRUE,INDEX(CDRANGE_CLS3,MATCH($A29,$A$24:$A$67,0),MATCH(AB$20,$B$20:$G$20,0))&lt;$D$6/OPDAYS_Cls3),86,payback(F29,W29,disc_rate/12,85))</f>
        <v>86</v>
      </c>
      <c r="AC29" s="281" cm="1">
        <f t="array" aca="1" ref="AC29" ca="1">IF(AND(AC$22=TRUE,INDEX(CDRANGE_CLS3,MATCH($A29,$A$24:$A$67,0),MATCH(AC$20,$B$20:$G$20,0))&lt;$D$6/OPDAYS_Cls3),86,payback(G29,X29,disc_rate/12,85))</f>
        <v>86</v>
      </c>
      <c r="AD29" s="296">
        <f t="shared" si="35"/>
        <v>0</v>
      </c>
      <c r="AE29" s="297">
        <f t="shared" si="36"/>
        <v>0</v>
      </c>
      <c r="AF29" s="297">
        <f t="shared" si="37"/>
        <v>0</v>
      </c>
      <c r="AG29" s="297">
        <f t="shared" si="38"/>
        <v>0</v>
      </c>
      <c r="AH29" s="298">
        <f t="shared" si="39"/>
        <v>0</v>
      </c>
      <c r="AI29" s="595" cm="1">
        <f t="array" ref="AI29">IF($A29&lt;AI$23,0,AI$21+VLOOKUP($A29-AI$23,SCdata,2,1)*(AI$22-AI$21))*IF($D$5="Non-Central",INDEX(fuel_avail,$A29-$A$24+1,MATCH(O$21,Fuels,0)),1)</f>
        <v>0</v>
      </c>
      <c r="AJ29" s="300" cm="1">
        <f t="array" ref="AJ29">IF($A29&lt;AJ$23,0,AJ$21+VLOOKUP($A29-AJ$23,SCdata,2,1)*(AJ$22-AJ$21))*IF($D$5="Non-Central",INDEX(fuel_avail,$A29-$A$24+1,MATCH(P$21,Fuels,0)),1)</f>
        <v>0</v>
      </c>
      <c r="AK29" s="300" cm="1">
        <f t="array" ref="AK29">IF($A29&lt;AK$23,0,AK$21+VLOOKUP($A29-AK$23,SCdata,2,1)*(AK$22-AK$21))*IF($D$5="Non-Central",INDEX(fuel_avail,$A29-$A$24+1,MATCH(Q$21,Fuels,0)),1)</f>
        <v>0</v>
      </c>
      <c r="AL29" s="300" cm="1">
        <f t="array" ref="AL29">IF($A29&lt;AL$23,0,AL$21+VLOOKUP($A29-AL$23,SCdata,2,1)*(AL$22-AL$21))*IF($D$5="Non-Central",INDEX(fuel_avail,$A29-$A$24+1,MATCH(R$21,Fuels,0)),1)</f>
        <v>0</v>
      </c>
      <c r="AM29" s="598" cm="1">
        <f t="array" ref="AM29">IF($A29&lt;AM$23,0,AM$21+VLOOKUP($A29-AM$23,SCdata,2,1)*(AM$22-AM$21))*IF($D$5="Non-Central",INDEX(fuel_avail,$A29-$A$24+1,MATCH(S$21,Fuels,0)),1)</f>
        <v>0</v>
      </c>
      <c r="AN29" s="299">
        <f t="shared" si="52"/>
        <v>0</v>
      </c>
      <c r="AO29" s="300">
        <f t="shared" si="40"/>
        <v>0</v>
      </c>
      <c r="AP29" s="300">
        <f t="shared" si="40"/>
        <v>0</v>
      </c>
      <c r="AQ29" s="300">
        <f t="shared" si="40"/>
        <v>0</v>
      </c>
      <c r="AR29" s="598">
        <f t="shared" si="40"/>
        <v>0</v>
      </c>
      <c r="AS29" s="296">
        <f t="shared" ca="1" si="41"/>
        <v>0</v>
      </c>
      <c r="AT29" s="297">
        <f t="shared" ca="1" si="42"/>
        <v>0</v>
      </c>
      <c r="AU29" s="297">
        <f t="shared" si="43"/>
        <v>0</v>
      </c>
      <c r="AV29" s="297">
        <f t="shared" ca="1" si="44"/>
        <v>0</v>
      </c>
      <c r="AW29" s="298">
        <f t="shared" ca="1" si="45"/>
        <v>0</v>
      </c>
      <c r="AX29" s="296">
        <f t="shared" ca="1" si="46"/>
        <v>0</v>
      </c>
      <c r="AY29" s="297">
        <f t="shared" ca="1" si="46"/>
        <v>0</v>
      </c>
      <c r="AZ29" s="297">
        <f t="shared" si="46"/>
        <v>0</v>
      </c>
      <c r="BA29" s="297">
        <f t="shared" ca="1" si="46"/>
        <v>0</v>
      </c>
      <c r="BB29" s="298">
        <f t="shared" ca="1" si="46"/>
        <v>0</v>
      </c>
      <c r="BC29" s="296">
        <f t="shared" ca="1" si="53"/>
        <v>1</v>
      </c>
      <c r="BD29" s="297">
        <f t="shared" ca="1" si="47"/>
        <v>0</v>
      </c>
      <c r="BE29" s="297">
        <f t="shared" ca="1" si="48"/>
        <v>0</v>
      </c>
      <c r="BF29" s="297">
        <f t="shared" ca="1" si="49"/>
        <v>0</v>
      </c>
      <c r="BG29" s="297">
        <f t="shared" ca="1" si="50"/>
        <v>0</v>
      </c>
      <c r="BH29" s="298">
        <f t="shared" ca="1" si="51"/>
        <v>0</v>
      </c>
    </row>
    <row r="30" spans="1:60" x14ac:dyDescent="0.2">
      <c r="A30" s="317">
        <v>2013</v>
      </c>
      <c r="B30" s="820" cm="1">
        <f t="array" ref="B30">ROUND(INDEX(COST_Cls3,$A30-($A$24-1),MATCH(B$20,TECHOPTS_Cls3,0)),2)</f>
        <v>81898</v>
      </c>
      <c r="C30" s="821" cm="1">
        <f t="array" ref="C30">ROUND(INDEX(COST_Cls3,$A30-($A$24-1),MATCH(C$20,TECHOPTS_Cls3,0)),2)</f>
        <v>1000000</v>
      </c>
      <c r="D30" s="821" cm="1">
        <f t="array" ref="D30">ROUND(INDEX(COST_Cls3,$A30-($A$24-1),MATCH(D$20,TECHOPTS_Cls3,0)),2)</f>
        <v>1000000</v>
      </c>
      <c r="E30" s="821" cm="1">
        <f t="array" ref="E30">ROUND(INDEX(COST_Cls3,$A30-($A$24-1),MATCH(E$20,TECHOPTS_Cls3,0)),2)</f>
        <v>1000000</v>
      </c>
      <c r="F30" s="821" cm="1">
        <f t="array" ref="F30">ROUND(INDEX(COST_Cls3,$A30-($A$24-1),MATCH(F$20,TECHOPTS_Cls3,0)),2)</f>
        <v>1000000</v>
      </c>
      <c r="G30" s="822" cm="1">
        <f t="array" ref="G30">ROUND(INDEX(COST_Cls3,$A30-($A$24-1),MATCH(G$20,TECHOPTS_Cls3,0)),2)</f>
        <v>1000000</v>
      </c>
      <c r="H30" s="781" cm="1">
        <f t="array" ref="H30">IF(H$21="Single-fuel",1,1-MIN(INDEX(CDRANGE_CLS3,$A30-($A$24-1),MATCH(H$20,TECHOPTS_Cls3,0))*OPDAYS_Cls3/$D$6,1))</f>
        <v>1</v>
      </c>
      <c r="I30" s="782" cm="1">
        <f t="array" ref="I30">IF(I$21="Single-fuel",1,1-MIN(INDEX(CDRANGE_CLS3,$A30-($A$24-1),MATCH(I$20,TECHOPTS_Cls3,0))*OPDAYS_Cls3/$D$6,1))</f>
        <v>1</v>
      </c>
      <c r="J30" s="782" cm="1">
        <f t="array" ref="J30">IF(J$21="Single-fuel",1,1-MIN(INDEX(CDRANGE_CLS3,$A30-($A$24-1),MATCH(J$20,TECHOPTS_Cls3,0))*OPDAYS_Cls3/$D$6,1))</f>
        <v>1</v>
      </c>
      <c r="K30" s="782" cm="1">
        <f t="array" ref="K30">IF(K$21="Single-fuel",1,1-MIN(INDEX(CDRANGE_CLS3,$A30-($A$24-1),MATCH(K$20,TECHOPTS_Cls3,0))*OPDAYS_Cls3/$D$6,1))</f>
        <v>1</v>
      </c>
      <c r="L30" s="782" cm="1">
        <f t="array" ref="L30">IF(L$21="Single-fuel",1,1-MIN(INDEX(CDRANGE_CLS3,$A30-($A$24-1),MATCH(L$20,TECHOPTS_Cls3,0))*OPDAYS_Cls3/$D$6,1))</f>
        <v>1</v>
      </c>
      <c r="M30" s="783" cm="1">
        <f t="array" ref="M30">IF(M$21="Single-fuel",1,1-MIN(INDEX(CDRANGE_CLS3,$A30-($A$24-1),MATCH(M$20,TECHOPTS_Cls3,0))*OPDAYS_Cls3/$D$6,1))</f>
        <v>1</v>
      </c>
      <c r="N30" s="733" cm="1">
        <f t="array" ref="N30">VLOOKUP($A30,IF($D$5="Central",FuelPriceCent,FuelPriceNCent),MATCH(N$21,FuelPriceCols,0),0)*(H30*$D$6)/(12*INDEX(FUEL1MPG_Cls3,$A30-($A$24-1),MATCH(N$20,TECHOPTS_Cls3,0)))+IFERROR(VLOOKUP($A30,IF($D$5="Central",FuelPriceCent,FuelPriceNCent),MATCH(INDEX($G$11:$G$16,MATCH(N$20,$B$11:$B$16,0)),FuelPriceCols,0),0),0)*((1-H30)*$D$6)/(12*INDEX(FUEL2MPG_Cls3,$A30-($A$24-1),MATCH(N$20,TECHOPTS_Cls3,0)))</f>
        <v>11310.481153721661</v>
      </c>
      <c r="O30" s="276" cm="1">
        <f t="array" ref="O30">VLOOKUP($A30,IF($D$5="Central",FuelPriceCent,FuelPriceNCent),MATCH(O$21,FuelPriceCols,0),0)*(I30*$D$6)/(12*INDEX(FUEL1MPG_Cls3,$A30-($A$24-1),MATCH(O$20,TECHOPTS_Cls3,0)))+IFERROR(VLOOKUP($A30,IF($D$5="Central",FuelPriceCent,FuelPriceNCent),MATCH(INDEX($G$11:$G$16,MATCH(O$20,$B$11:$B$16,0)),FuelPriceCols,0),0),0)*((1-I30)*$D$6)/(12*INDEX(FUEL2MPG_Cls3,$A30-($A$24-1),MATCH(O$20,TECHOPTS_Cls3,0)))</f>
        <v>67008.521778722105</v>
      </c>
      <c r="P30" s="276" cm="1">
        <f t="array" ref="P30">VLOOKUP($A30,IF($D$5="Central",FuelPriceCent,FuelPriceNCent),MATCH(P$21,FuelPriceCols,0),0)*(J30*$D$6)/(12*INDEX(FUEL1MPG_Cls3,$A30-($A$24-1),MATCH(P$20,TECHOPTS_Cls3,0)))+IFERROR(VLOOKUP($A30,IF($D$5="Central",FuelPriceCent,FuelPriceNCent),MATCH(INDEX($G$11:$G$16,MATCH(P$20,$B$11:$B$16,0)),FuelPriceCols,0),0),0)*((1-J30)*$D$6)/(12*INDEX(FUEL2MPG_Cls3,$A30-($A$24-1),MATCH(P$20,TECHOPTS_Cls3,0)))</f>
        <v>67008.521778722105</v>
      </c>
      <c r="Q30" s="276" cm="1">
        <f t="array" ref="Q30">VLOOKUP($A30,IF($D$5="Central",FuelPriceCent,FuelPriceNCent),MATCH(Q$21,FuelPriceCols,0),0)*(K30*$D$6)/(12*INDEX(FUEL1MPG_Cls3,$A30-($A$24-1),MATCH(Q$20,TECHOPTS_Cls3,0)))+IFERROR(VLOOKUP($A30,IF($D$5="Central",FuelPriceCent,FuelPriceNCent),MATCH(INDEX($G$11:$G$16,MATCH(Q$20,$B$11:$B$16,0)),FuelPriceCols,0),0),0)*((1-K30)*$D$6)/(12*INDEX(FUEL2MPG_Cls3,$A30-($A$24-1),MATCH(Q$20,TECHOPTS_Cls3,0)))</f>
        <v>161270.62325999999</v>
      </c>
      <c r="R30" s="276" cm="1">
        <f t="array" ref="R30">VLOOKUP($A30,IF($D$5="Central",FuelPriceCent,FuelPriceNCent),MATCH(R$21,FuelPriceCols,0),0)*(L30*$D$6)/(12*INDEX(FUEL1MPG_Cls3,$A30-($A$24-1),MATCH(R$20,TECHOPTS_Cls3,0)))+IFERROR(VLOOKUP($A30,IF($D$5="Central",FuelPriceCent,FuelPriceNCent),MATCH(INDEX($G$11:$G$16,MATCH(R$20,$B$11:$B$16,0)),FuelPriceCols,0),0),0)*((1-L30)*$D$6)/(12*INDEX(FUEL2MPG_Cls3,$A30-($A$24-1),MATCH(R$20,TECHOPTS_Cls3,0)))</f>
        <v>232544.70938897168</v>
      </c>
      <c r="S30" s="278" cm="1">
        <f t="array" ref="S30">VLOOKUP($A30,IF($D$5="Central",FuelPriceCent,FuelPriceNCent),MATCH(S$21,FuelPriceCols,0),0)*(M30*$D$6)/(12*INDEX(FUEL1MPG_Cls3,$A30-($A$24-1),MATCH(S$20,TECHOPTS_Cls3,0)))+IFERROR(VLOOKUP($A30,IF($D$5="Central",FuelPriceCent,FuelPriceNCent),MATCH(INDEX($G$11:$G$16,MATCH(S$20,$B$11:$B$16,0)),FuelPriceCols,0),0),0)*((1-M30)*$D$6)/(12*INDEX(FUEL2MPG_Cls3,$A30-($A$24-1),MATCH(S$20,TECHOPTS_Cls3,0)))</f>
        <v>67008.521778722105</v>
      </c>
      <c r="T30" s="734">
        <f t="shared" si="30"/>
        <v>-55698.040625000445</v>
      </c>
      <c r="U30" s="290">
        <f t="shared" si="31"/>
        <v>-55698.040625000445</v>
      </c>
      <c r="V30" s="290">
        <f t="shared" si="32"/>
        <v>-149960.14210627833</v>
      </c>
      <c r="W30" s="290">
        <f t="shared" si="33"/>
        <v>-221234.22823525002</v>
      </c>
      <c r="X30" s="291">
        <f t="shared" si="34"/>
        <v>-55698.040625000445</v>
      </c>
      <c r="Y30" s="279" cm="1">
        <f t="array" aca="1" ref="Y30" ca="1">IF(AND(Y$22=TRUE,INDEX(CDRANGE_CLS3,MATCH($A30,$A$24:$A$67,0),MATCH(Y$20,$B$20:$G$20,0))&lt;$D$6/OPDAYS_Cls3),86,payback(C30,T30,disc_rate/12,85))</f>
        <v>86</v>
      </c>
      <c r="Z30" s="280" cm="1">
        <f t="array" aca="1" ref="Z30" ca="1">IF(AND(Z$22=TRUE,INDEX(CDRANGE_CLS3,MATCH($A30,$A$24:$A$67,0),MATCH(Z$20,$B$20:$G$20,0))&lt;$D$6/OPDAYS_Cls3),86,payback(D30,U30,disc_rate/12,85))</f>
        <v>86</v>
      </c>
      <c r="AA30" s="280" cm="1">
        <f t="array" ref="AA30">IF(AND(AA$22=TRUE,INDEX(CDRANGE_CLS3,MATCH($A30,$A$24:$A$67,0),MATCH(AA$20,$B$20:$G$20,0))&lt;$D$6/OPDAYS_Cls3),86,payback(E30,V30,disc_rate/12,85))</f>
        <v>86</v>
      </c>
      <c r="AB30" s="280" cm="1">
        <f t="array" aca="1" ref="AB30" ca="1">IF(AND(AB$22=TRUE,INDEX(CDRANGE_CLS3,MATCH($A30,$A$24:$A$67,0),MATCH(AB$20,$B$20:$G$20,0))&lt;$D$6/OPDAYS_Cls3),86,payback(F30,W30,disc_rate/12,85))</f>
        <v>86</v>
      </c>
      <c r="AC30" s="281" cm="1">
        <f t="array" aca="1" ref="AC30" ca="1">IF(AND(AC$22=TRUE,INDEX(CDRANGE_CLS3,MATCH($A30,$A$24:$A$67,0),MATCH(AC$20,$B$20:$G$20,0))&lt;$D$6/OPDAYS_Cls3),86,payback(G30,X30,disc_rate/12,85))</f>
        <v>86</v>
      </c>
      <c r="AD30" s="296">
        <f t="shared" si="35"/>
        <v>0</v>
      </c>
      <c r="AE30" s="297">
        <f t="shared" si="36"/>
        <v>0</v>
      </c>
      <c r="AF30" s="297">
        <f t="shared" si="37"/>
        <v>0</v>
      </c>
      <c r="AG30" s="297">
        <f t="shared" si="38"/>
        <v>0</v>
      </c>
      <c r="AH30" s="298">
        <f t="shared" si="39"/>
        <v>0</v>
      </c>
      <c r="AI30" s="595" cm="1">
        <f t="array" ref="AI30">IF($A30&lt;AI$23,0,AI$21+VLOOKUP($A30-AI$23,SCdata,2,1)*(AI$22-AI$21))*IF($D$5="Non-Central",INDEX(fuel_avail,$A30-$A$24+1,MATCH(O$21,Fuels,0)),1)</f>
        <v>0</v>
      </c>
      <c r="AJ30" s="300" cm="1">
        <f t="array" ref="AJ30">IF($A30&lt;AJ$23,0,AJ$21+VLOOKUP($A30-AJ$23,SCdata,2,1)*(AJ$22-AJ$21))*IF($D$5="Non-Central",INDEX(fuel_avail,$A30-$A$24+1,MATCH(P$21,Fuels,0)),1)</f>
        <v>0</v>
      </c>
      <c r="AK30" s="300" cm="1">
        <f t="array" ref="AK30">IF($A30&lt;AK$23,0,AK$21+VLOOKUP($A30-AK$23,SCdata,2,1)*(AK$22-AK$21))*IF($D$5="Non-Central",INDEX(fuel_avail,$A30-$A$24+1,MATCH(Q$21,Fuels,0)),1)</f>
        <v>0</v>
      </c>
      <c r="AL30" s="300" cm="1">
        <f t="array" ref="AL30">IF($A30&lt;AL$23,0,AL$21+VLOOKUP($A30-AL$23,SCdata,2,1)*(AL$22-AL$21))*IF($D$5="Non-Central",INDEX(fuel_avail,$A30-$A$24+1,MATCH(R$21,Fuels,0)),1)</f>
        <v>0</v>
      </c>
      <c r="AM30" s="598" cm="1">
        <f t="array" ref="AM30">IF($A30&lt;AM$23,0,AM$21+VLOOKUP($A30-AM$23,SCdata,2,1)*(AM$22-AM$21))*IF($D$5="Non-Central",INDEX(fuel_avail,$A30-$A$24+1,MATCH(S$21,Fuels,0)),1)</f>
        <v>0</v>
      </c>
      <c r="AN30" s="299">
        <f t="shared" si="52"/>
        <v>0</v>
      </c>
      <c r="AO30" s="300">
        <f t="shared" si="40"/>
        <v>0</v>
      </c>
      <c r="AP30" s="300">
        <f t="shared" si="40"/>
        <v>0</v>
      </c>
      <c r="AQ30" s="300">
        <f t="shared" si="40"/>
        <v>0</v>
      </c>
      <c r="AR30" s="598">
        <f t="shared" si="40"/>
        <v>0</v>
      </c>
      <c r="AS30" s="296">
        <f t="shared" ca="1" si="41"/>
        <v>0</v>
      </c>
      <c r="AT30" s="297">
        <f t="shared" ca="1" si="42"/>
        <v>0</v>
      </c>
      <c r="AU30" s="297">
        <f t="shared" si="43"/>
        <v>0</v>
      </c>
      <c r="AV30" s="297">
        <f t="shared" ca="1" si="44"/>
        <v>0</v>
      </c>
      <c r="AW30" s="298">
        <f t="shared" ca="1" si="45"/>
        <v>0</v>
      </c>
      <c r="AX30" s="296">
        <f t="shared" ca="1" si="46"/>
        <v>0</v>
      </c>
      <c r="AY30" s="297">
        <f t="shared" ca="1" si="46"/>
        <v>0</v>
      </c>
      <c r="AZ30" s="297">
        <f t="shared" si="46"/>
        <v>0</v>
      </c>
      <c r="BA30" s="297">
        <f t="shared" ca="1" si="46"/>
        <v>0</v>
      </c>
      <c r="BB30" s="298">
        <f t="shared" ca="1" si="46"/>
        <v>0</v>
      </c>
      <c r="BC30" s="296">
        <f t="shared" ca="1" si="53"/>
        <v>1</v>
      </c>
      <c r="BD30" s="297">
        <f t="shared" ca="1" si="47"/>
        <v>0</v>
      </c>
      <c r="BE30" s="297">
        <f t="shared" ca="1" si="48"/>
        <v>0</v>
      </c>
      <c r="BF30" s="297">
        <f t="shared" ca="1" si="49"/>
        <v>0</v>
      </c>
      <c r="BG30" s="297">
        <f t="shared" ca="1" si="50"/>
        <v>0</v>
      </c>
      <c r="BH30" s="298">
        <f t="shared" ca="1" si="51"/>
        <v>0</v>
      </c>
    </row>
    <row r="31" spans="1:60" x14ac:dyDescent="0.2">
      <c r="A31" s="317">
        <v>2014</v>
      </c>
      <c r="B31" s="820" cm="1">
        <f t="array" ref="B31">ROUND(INDEX(COST_Cls3,$A31-($A$24-1),MATCH(B$20,TECHOPTS_Cls3,0)),2)</f>
        <v>81898</v>
      </c>
      <c r="C31" s="821" cm="1">
        <f t="array" ref="C31">ROUND(INDEX(COST_Cls3,$A31-($A$24-1),MATCH(C$20,TECHOPTS_Cls3,0)),2)</f>
        <v>1000000</v>
      </c>
      <c r="D31" s="821" cm="1">
        <f t="array" ref="D31">ROUND(INDEX(COST_Cls3,$A31-($A$24-1),MATCH(D$20,TECHOPTS_Cls3,0)),2)</f>
        <v>1000000</v>
      </c>
      <c r="E31" s="821" cm="1">
        <f t="array" ref="E31">ROUND(INDEX(COST_Cls3,$A31-($A$24-1),MATCH(E$20,TECHOPTS_Cls3,0)),2)</f>
        <v>1000000</v>
      </c>
      <c r="F31" s="821" cm="1">
        <f t="array" ref="F31">ROUND(INDEX(COST_Cls3,$A31-($A$24-1),MATCH(F$20,TECHOPTS_Cls3,0)),2)</f>
        <v>1000000</v>
      </c>
      <c r="G31" s="822" cm="1">
        <f t="array" ref="G31">ROUND(INDEX(COST_Cls3,$A31-($A$24-1),MATCH(G$20,TECHOPTS_Cls3,0)),2)</f>
        <v>1000000</v>
      </c>
      <c r="H31" s="781" cm="1">
        <f t="array" ref="H31">IF(H$21="Single-fuel",1,1-MIN(INDEX(CDRANGE_CLS3,$A31-($A$24-1),MATCH(H$20,TECHOPTS_Cls3,0))*OPDAYS_Cls3/$D$6,1))</f>
        <v>1</v>
      </c>
      <c r="I31" s="782" cm="1">
        <f t="array" ref="I31">IF(I$21="Single-fuel",1,1-MIN(INDEX(CDRANGE_CLS3,$A31-($A$24-1),MATCH(I$20,TECHOPTS_Cls3,0))*OPDAYS_Cls3/$D$6,1))</f>
        <v>1</v>
      </c>
      <c r="J31" s="782" cm="1">
        <f t="array" ref="J31">IF(J$21="Single-fuel",1,1-MIN(INDEX(CDRANGE_CLS3,$A31-($A$24-1),MATCH(J$20,TECHOPTS_Cls3,0))*OPDAYS_Cls3/$D$6,1))</f>
        <v>1</v>
      </c>
      <c r="K31" s="782" cm="1">
        <f t="array" ref="K31">IF(K$21="Single-fuel",1,1-MIN(INDEX(CDRANGE_CLS3,$A31-($A$24-1),MATCH(K$20,TECHOPTS_Cls3,0))*OPDAYS_Cls3/$D$6,1))</f>
        <v>1</v>
      </c>
      <c r="L31" s="782" cm="1">
        <f t="array" ref="L31">IF(L$21="Single-fuel",1,1-MIN(INDEX(CDRANGE_CLS3,$A31-($A$24-1),MATCH(L$20,TECHOPTS_Cls3,0))*OPDAYS_Cls3/$D$6,1))</f>
        <v>1</v>
      </c>
      <c r="M31" s="783" cm="1">
        <f t="array" ref="M31">IF(M$21="Single-fuel",1,1-MIN(INDEX(CDRANGE_CLS3,$A31-($A$24-1),MATCH(M$20,TECHOPTS_Cls3,0))*OPDAYS_Cls3/$D$6,1))</f>
        <v>1</v>
      </c>
      <c r="N31" s="733" cm="1">
        <f t="array" ref="N31">VLOOKUP($A31,IF($D$5="Central",FuelPriceCent,FuelPriceNCent),MATCH(N$21,FuelPriceCols,0),0)*(H31*$D$6)/(12*INDEX(FUEL1MPG_Cls3,$A31-($A$24-1),MATCH(N$20,TECHOPTS_Cls3,0)))+IFERROR(VLOOKUP($A31,IF($D$5="Central",FuelPriceCent,FuelPriceNCent),MATCH(INDEX($G$11:$G$16,MATCH(N$20,$B$11:$B$16,0)),FuelPriceCols,0),0),0)*((1-H31)*$D$6)/(12*INDEX(FUEL2MPG_Cls3,$A31-($A$24-1),MATCH(N$20,TECHOPTS_Cls3,0)))</f>
        <v>10961.227368441203</v>
      </c>
      <c r="O31" s="276" cm="1">
        <f t="array" ref="O31">VLOOKUP($A31,IF($D$5="Central",FuelPriceCent,FuelPriceNCent),MATCH(O$21,FuelPriceCols,0),0)*(I31*$D$6)/(12*INDEX(FUEL1MPG_Cls3,$A31-($A$24-1),MATCH(O$20,TECHOPTS_Cls3,0)))+IFERROR(VLOOKUP($A31,IF($D$5="Central",FuelPriceCent,FuelPriceNCent),MATCH(INDEX($G$11:$G$16,MATCH(O$20,$B$11:$B$16,0)),FuelPriceCols,0),0),0)*((1-I31)*$D$6)/(12*INDEX(FUEL2MPG_Cls3,$A31-($A$24-1),MATCH(O$20,TECHOPTS_Cls3,0)))</f>
        <v>66407.056268022468</v>
      </c>
      <c r="P31" s="276" cm="1">
        <f t="array" ref="P31">VLOOKUP($A31,IF($D$5="Central",FuelPriceCent,FuelPriceNCent),MATCH(P$21,FuelPriceCols,0),0)*(J31*$D$6)/(12*INDEX(FUEL1MPG_Cls3,$A31-($A$24-1),MATCH(P$20,TECHOPTS_Cls3,0)))+IFERROR(VLOOKUP($A31,IF($D$5="Central",FuelPriceCent,FuelPriceNCent),MATCH(INDEX($G$11:$G$16,MATCH(P$20,$B$11:$B$16,0)),FuelPriceCols,0),0),0)*((1-J31)*$D$6)/(12*INDEX(FUEL2MPG_Cls3,$A31-($A$24-1),MATCH(P$20,TECHOPTS_Cls3,0)))</f>
        <v>66407.056268022468</v>
      </c>
      <c r="Q31" s="276" cm="1">
        <f t="array" ref="Q31">VLOOKUP($A31,IF($D$5="Central",FuelPriceCent,FuelPriceNCent),MATCH(Q$21,FuelPriceCols,0),0)*(K31*$D$6)/(12*INDEX(FUEL1MPG_Cls3,$A31-($A$24-1),MATCH(Q$20,TECHOPTS_Cls3,0)))+IFERROR(VLOOKUP($A31,IF($D$5="Central",FuelPriceCent,FuelPriceNCent),MATCH(INDEX($G$11:$G$16,MATCH(Q$20,$B$11:$B$16,0)),FuelPriceCols,0),0),0)*((1-K31)*$D$6)/(12*INDEX(FUEL2MPG_Cls3,$A31-($A$24-1),MATCH(Q$20,TECHOPTS_Cls3,0)))</f>
        <v>167382.11801625005</v>
      </c>
      <c r="R31" s="276" cm="1">
        <f t="array" ref="R31">VLOOKUP($A31,IF($D$5="Central",FuelPriceCent,FuelPriceNCent),MATCH(R$21,FuelPriceCols,0),0)*(L31*$D$6)/(12*INDEX(FUEL1MPG_Cls3,$A31-($A$24-1),MATCH(R$20,TECHOPTS_Cls3,0)))+IFERROR(VLOOKUP($A31,IF($D$5="Central",FuelPriceCent,FuelPriceNCent),MATCH(INDEX($G$11:$G$16,MATCH(R$20,$B$11:$B$16,0)),FuelPriceCols,0),0),0)*((1-L31)*$D$6)/(12*INDEX(FUEL2MPG_Cls3,$A31-($A$24-1),MATCH(R$20,TECHOPTS_Cls3,0)))</f>
        <v>232544.70938897168</v>
      </c>
      <c r="S31" s="278" cm="1">
        <f t="array" ref="S31">VLOOKUP($A31,IF($D$5="Central",FuelPriceCent,FuelPriceNCent),MATCH(S$21,FuelPriceCols,0),0)*(M31*$D$6)/(12*INDEX(FUEL1MPG_Cls3,$A31-($A$24-1),MATCH(S$20,TECHOPTS_Cls3,0)))+IFERROR(VLOOKUP($A31,IF($D$5="Central",FuelPriceCent,FuelPriceNCent),MATCH(INDEX($G$11:$G$16,MATCH(S$20,$B$11:$B$16,0)),FuelPriceCols,0),0),0)*((1-M31)*$D$6)/(12*INDEX(FUEL2MPG_Cls3,$A31-($A$24-1),MATCH(S$20,TECHOPTS_Cls3,0)))</f>
        <v>66407.056268022468</v>
      </c>
      <c r="T31" s="734">
        <f t="shared" si="30"/>
        <v>-55445.828899581262</v>
      </c>
      <c r="U31" s="290">
        <f t="shared" si="31"/>
        <v>-55445.828899581262</v>
      </c>
      <c r="V31" s="290">
        <f t="shared" si="32"/>
        <v>-156420.89064780885</v>
      </c>
      <c r="W31" s="290">
        <f t="shared" si="33"/>
        <v>-221583.48202053047</v>
      </c>
      <c r="X31" s="291">
        <f t="shared" si="34"/>
        <v>-55445.828899581262</v>
      </c>
      <c r="Y31" s="279" cm="1">
        <f t="array" aca="1" ref="Y31" ca="1">IF(AND(Y$22=TRUE,INDEX(CDRANGE_CLS3,MATCH($A31,$A$24:$A$67,0),MATCH(Y$20,$B$20:$G$20,0))&lt;$D$6/OPDAYS_Cls3),86,payback(C31,T31,disc_rate/12,85))</f>
        <v>86</v>
      </c>
      <c r="Z31" s="280" cm="1">
        <f t="array" aca="1" ref="Z31" ca="1">IF(AND(Z$22=TRUE,INDEX(CDRANGE_CLS3,MATCH($A31,$A$24:$A$67,0),MATCH(Z$20,$B$20:$G$20,0))&lt;$D$6/OPDAYS_Cls3),86,payback(D31,U31,disc_rate/12,85))</f>
        <v>86</v>
      </c>
      <c r="AA31" s="280" cm="1">
        <f t="array" ref="AA31">IF(AND(AA$22=TRUE,INDEX(CDRANGE_CLS3,MATCH($A31,$A$24:$A$67,0),MATCH(AA$20,$B$20:$G$20,0))&lt;$D$6/OPDAYS_Cls3),86,payback(E31,V31,disc_rate/12,85))</f>
        <v>86</v>
      </c>
      <c r="AB31" s="280" cm="1">
        <f t="array" aca="1" ref="AB31" ca="1">IF(AND(AB$22=TRUE,INDEX(CDRANGE_CLS3,MATCH($A31,$A$24:$A$67,0),MATCH(AB$20,$B$20:$G$20,0))&lt;$D$6/OPDAYS_Cls3),86,payback(F31,W31,disc_rate/12,85))</f>
        <v>86</v>
      </c>
      <c r="AC31" s="281" cm="1">
        <f t="array" aca="1" ref="AC31" ca="1">IF(AND(AC$22=TRUE,INDEX(CDRANGE_CLS3,MATCH($A31,$A$24:$A$67,0),MATCH(AC$20,$B$20:$G$20,0))&lt;$D$6/OPDAYS_Cls3),86,payback(G31,X31,disc_rate/12,85))</f>
        <v>86</v>
      </c>
      <c r="AD31" s="296">
        <f t="shared" si="35"/>
        <v>0</v>
      </c>
      <c r="AE31" s="297">
        <f t="shared" si="36"/>
        <v>0</v>
      </c>
      <c r="AF31" s="297">
        <f t="shared" si="37"/>
        <v>0</v>
      </c>
      <c r="AG31" s="297">
        <f t="shared" si="38"/>
        <v>0</v>
      </c>
      <c r="AH31" s="298">
        <f t="shared" si="39"/>
        <v>0</v>
      </c>
      <c r="AI31" s="595" cm="1">
        <f t="array" ref="AI31">IF($A31&lt;AI$23,0,AI$21+VLOOKUP($A31-AI$23,SCdata,2,1)*(AI$22-AI$21))*IF($D$5="Non-Central",INDEX(fuel_avail,$A31-$A$24+1,MATCH(O$21,Fuels,0)),1)</f>
        <v>0</v>
      </c>
      <c r="AJ31" s="300" cm="1">
        <f t="array" ref="AJ31">IF($A31&lt;AJ$23,0,AJ$21+VLOOKUP($A31-AJ$23,SCdata,2,1)*(AJ$22-AJ$21))*IF($D$5="Non-Central",INDEX(fuel_avail,$A31-$A$24+1,MATCH(P$21,Fuels,0)),1)</f>
        <v>0</v>
      </c>
      <c r="AK31" s="300" cm="1">
        <f t="array" ref="AK31">IF($A31&lt;AK$23,0,AK$21+VLOOKUP($A31-AK$23,SCdata,2,1)*(AK$22-AK$21))*IF($D$5="Non-Central",INDEX(fuel_avail,$A31-$A$24+1,MATCH(Q$21,Fuels,0)),1)</f>
        <v>0</v>
      </c>
      <c r="AL31" s="300" cm="1">
        <f t="array" ref="AL31">IF($A31&lt;AL$23,0,AL$21+VLOOKUP($A31-AL$23,SCdata,2,1)*(AL$22-AL$21))*IF($D$5="Non-Central",INDEX(fuel_avail,$A31-$A$24+1,MATCH(R$21,Fuels,0)),1)</f>
        <v>0</v>
      </c>
      <c r="AM31" s="598" cm="1">
        <f t="array" ref="AM31">IF($A31&lt;AM$23,0,AM$21+VLOOKUP($A31-AM$23,SCdata,2,1)*(AM$22-AM$21))*IF($D$5="Non-Central",INDEX(fuel_avail,$A31-$A$24+1,MATCH(S$21,Fuels,0)),1)</f>
        <v>0</v>
      </c>
      <c r="AN31" s="299">
        <f t="shared" si="52"/>
        <v>0</v>
      </c>
      <c r="AO31" s="300">
        <f t="shared" si="40"/>
        <v>0</v>
      </c>
      <c r="AP31" s="300">
        <f t="shared" si="40"/>
        <v>0</v>
      </c>
      <c r="AQ31" s="300">
        <f t="shared" si="40"/>
        <v>0</v>
      </c>
      <c r="AR31" s="598">
        <f t="shared" si="40"/>
        <v>0</v>
      </c>
      <c r="AS31" s="296">
        <f t="shared" ca="1" si="41"/>
        <v>0</v>
      </c>
      <c r="AT31" s="297">
        <f t="shared" ca="1" si="42"/>
        <v>0</v>
      </c>
      <c r="AU31" s="297">
        <f t="shared" si="43"/>
        <v>0</v>
      </c>
      <c r="AV31" s="297">
        <f t="shared" ca="1" si="44"/>
        <v>0</v>
      </c>
      <c r="AW31" s="298">
        <f t="shared" ca="1" si="45"/>
        <v>0</v>
      </c>
      <c r="AX31" s="296">
        <f t="shared" ca="1" si="46"/>
        <v>0</v>
      </c>
      <c r="AY31" s="297">
        <f t="shared" ca="1" si="46"/>
        <v>0</v>
      </c>
      <c r="AZ31" s="297">
        <f t="shared" si="46"/>
        <v>0</v>
      </c>
      <c r="BA31" s="297">
        <f t="shared" ca="1" si="46"/>
        <v>0</v>
      </c>
      <c r="BB31" s="298">
        <f t="shared" ca="1" si="46"/>
        <v>0</v>
      </c>
      <c r="BC31" s="296">
        <f t="shared" ca="1" si="53"/>
        <v>1</v>
      </c>
      <c r="BD31" s="297">
        <f t="shared" ca="1" si="47"/>
        <v>0</v>
      </c>
      <c r="BE31" s="297">
        <f t="shared" ca="1" si="48"/>
        <v>0</v>
      </c>
      <c r="BF31" s="297">
        <f t="shared" ca="1" si="49"/>
        <v>0</v>
      </c>
      <c r="BG31" s="297">
        <f t="shared" ca="1" si="50"/>
        <v>0</v>
      </c>
      <c r="BH31" s="298">
        <f t="shared" ca="1" si="51"/>
        <v>0</v>
      </c>
    </row>
    <row r="32" spans="1:60" ht="13.5" thickBot="1" x14ac:dyDescent="0.25">
      <c r="A32" s="302">
        <v>2015</v>
      </c>
      <c r="B32" s="823" cm="1">
        <f t="array" ref="B32">ROUND(INDEX(COST_Cls3,$A32-($A$24-1),MATCH(B$20,TECHOPTS_Cls3,0)),2)</f>
        <v>81898</v>
      </c>
      <c r="C32" s="824" cm="1">
        <f t="array" ref="C32">ROUND(INDEX(COST_Cls3,$A32-($A$24-1),MATCH(C$20,TECHOPTS_Cls3,0)),2)</f>
        <v>1000000</v>
      </c>
      <c r="D32" s="824" cm="1">
        <f t="array" ref="D32">ROUND(INDEX(COST_Cls3,$A32-($A$24-1),MATCH(D$20,TECHOPTS_Cls3,0)),2)</f>
        <v>1000000</v>
      </c>
      <c r="E32" s="824" cm="1">
        <f t="array" ref="E32">ROUND(INDEX(COST_Cls3,$A32-($A$24-1),MATCH(E$20,TECHOPTS_Cls3,0)),2)</f>
        <v>1000000</v>
      </c>
      <c r="F32" s="824" cm="1">
        <f t="array" ref="F32">ROUND(INDEX(COST_Cls3,$A32-($A$24-1),MATCH(F$20,TECHOPTS_Cls3,0)),2)</f>
        <v>1000000</v>
      </c>
      <c r="G32" s="825" cm="1">
        <f t="array" ref="G32">ROUND(INDEX(COST_Cls3,$A32-($A$24-1),MATCH(G$20,TECHOPTS_Cls3,0)),2)</f>
        <v>1000000</v>
      </c>
      <c r="H32" s="781" cm="1">
        <f t="array" ref="H32">IF(H$21="Single-fuel",1,1-MIN(INDEX(CDRANGE_CLS3,$A32-($A$24-1),MATCH(H$20,TECHOPTS_Cls3,0))*OPDAYS_Cls3/$D$6,1))</f>
        <v>1</v>
      </c>
      <c r="I32" s="782" cm="1">
        <f t="array" ref="I32">IF(I$21="Single-fuel",1,1-MIN(INDEX(CDRANGE_CLS3,$A32-($A$24-1),MATCH(I$20,TECHOPTS_Cls3,0))*OPDAYS_Cls3/$D$6,1))</f>
        <v>1</v>
      </c>
      <c r="J32" s="782" cm="1">
        <f t="array" ref="J32">IF(J$21="Single-fuel",1,1-MIN(INDEX(CDRANGE_CLS3,$A32-($A$24-1),MATCH(J$20,TECHOPTS_Cls3,0))*OPDAYS_Cls3/$D$6,1))</f>
        <v>1</v>
      </c>
      <c r="K32" s="782" cm="1">
        <f t="array" ref="K32">IF(K$21="Single-fuel",1,1-MIN(INDEX(CDRANGE_CLS3,$A32-($A$24-1),MATCH(K$20,TECHOPTS_Cls3,0))*OPDAYS_Cls3/$D$6,1))</f>
        <v>1</v>
      </c>
      <c r="L32" s="782" cm="1">
        <f t="array" ref="L32">IF(L$21="Single-fuel",1,1-MIN(INDEX(CDRANGE_CLS3,$A32-($A$24-1),MATCH(L$20,TECHOPTS_Cls3,0))*OPDAYS_Cls3/$D$6,1))</f>
        <v>1</v>
      </c>
      <c r="M32" s="783" cm="1">
        <f t="array" ref="M32">IF(M$21="Single-fuel",1,1-MIN(INDEX(CDRANGE_CLS3,$A32-($A$24-1),MATCH(M$20,TECHOPTS_Cls3,0))*OPDAYS_Cls3/$D$6,1))</f>
        <v>1</v>
      </c>
      <c r="N32" s="883" cm="1">
        <f t="array" ref="N32">VLOOKUP($A32,IF($D$5="Central",FuelPriceCent,FuelPriceNCent),MATCH(N$21,FuelPriceCols,0),0)*(H32*$D$6)/(12*INDEX(FUEL1MPG_Cls3,$A32-($A$24-1),MATCH(N$20,TECHOPTS_Cls3,0)))+IFERROR(VLOOKUP($A32,IF($D$5="Central",FuelPriceCent,FuelPriceNCent),MATCH(INDEX($G$11:$G$16,MATCH(N$20,$B$11:$B$16,0)),FuelPriceCols,0),0),0)*((1-H32)*$D$6)/(12*INDEX(FUEL2MPG_Cls3,$A32-($A$24-1),MATCH(N$20,TECHOPTS_Cls3,0)))</f>
        <v>7626.5573198289158</v>
      </c>
      <c r="O32" s="779" cm="1">
        <f t="array" ref="O32">VLOOKUP($A32,IF($D$5="Central",FuelPriceCent,FuelPriceNCent),MATCH(O$21,FuelPriceCols,0),0)*(I32*$D$6)/(12*INDEX(FUEL1MPG_Cls3,$A32-($A$24-1),MATCH(O$20,TECHOPTS_Cls3,0)))+IFERROR(VLOOKUP($A32,IF($D$5="Central",FuelPriceCent,FuelPriceNCent),MATCH(INDEX($G$11:$G$16,MATCH(O$20,$B$11:$B$16,0)),FuelPriceCols,0),0),0)*((1-I32)*$D$6)/(12*INDEX(FUEL2MPG_Cls3,$A32-($A$24-1),MATCH(O$20,TECHOPTS_Cls3,0)))</f>
        <v>47058.723820003019</v>
      </c>
      <c r="P32" s="779" cm="1">
        <f t="array" ref="P32">VLOOKUP($A32,IF($D$5="Central",FuelPriceCent,FuelPriceNCent),MATCH(P$21,FuelPriceCols,0),0)*(J32*$D$6)/(12*INDEX(FUEL1MPG_Cls3,$A32-($A$24-1),MATCH(P$20,TECHOPTS_Cls3,0)))+IFERROR(VLOOKUP($A32,IF($D$5="Central",FuelPriceCent,FuelPriceNCent),MATCH(INDEX($G$11:$G$16,MATCH(P$20,$B$11:$B$16,0)),FuelPriceCols,0),0),0)*((1-J32)*$D$6)/(12*INDEX(FUEL2MPG_Cls3,$A32-($A$24-1),MATCH(P$20,TECHOPTS_Cls3,0)))</f>
        <v>47058.723820003019</v>
      </c>
      <c r="Q32" s="779" cm="1">
        <f t="array" ref="Q32">VLOOKUP($A32,IF($D$5="Central",FuelPriceCent,FuelPriceNCent),MATCH(Q$21,FuelPriceCols,0),0)*(K32*$D$6)/(12*INDEX(FUEL1MPG_Cls3,$A32-($A$24-1),MATCH(Q$20,TECHOPTS_Cls3,0)))+IFERROR(VLOOKUP($A32,IF($D$5="Central",FuelPriceCent,FuelPriceNCent),MATCH(INDEX($G$11:$G$16,MATCH(Q$20,$B$11:$B$16,0)),FuelPriceCols,0),0),0)*((1-K32)*$D$6)/(12*INDEX(FUEL2MPG_Cls3,$A32-($A$24-1),MATCH(Q$20,TECHOPTS_Cls3,0)))</f>
        <v>153361.38925874999</v>
      </c>
      <c r="R32" s="779" cm="1">
        <f t="array" ref="R32">VLOOKUP($A32,IF($D$5="Central",FuelPriceCent,FuelPriceNCent),MATCH(R$21,FuelPriceCols,0),0)*(L32*$D$6)/(12*INDEX(FUEL1MPG_Cls3,$A32-($A$24-1),MATCH(R$20,TECHOPTS_Cls3,0)))+IFERROR(VLOOKUP($A32,IF($D$5="Central",FuelPriceCent,FuelPriceNCent),MATCH(INDEX($G$11:$G$16,MATCH(R$20,$B$11:$B$16,0)),FuelPriceCols,0),0),0)*((1-L32)*$D$6)/(12*INDEX(FUEL2MPG_Cls3,$A32-($A$24-1),MATCH(R$20,TECHOPTS_Cls3,0)))</f>
        <v>232544.70938897168</v>
      </c>
      <c r="S32" s="780" cm="1">
        <f t="array" ref="S32">VLOOKUP($A32,IF($D$5="Central",FuelPriceCent,FuelPriceNCent),MATCH(S$21,FuelPriceCols,0),0)*(M32*$D$6)/(12*INDEX(FUEL1MPG_Cls3,$A32-($A$24-1),MATCH(S$20,TECHOPTS_Cls3,0)))+IFERROR(VLOOKUP($A32,IF($D$5="Central",FuelPriceCent,FuelPriceNCent),MATCH(INDEX($G$11:$G$16,MATCH(S$20,$B$11:$B$16,0)),FuelPriceCols,0),0),0)*((1-M32)*$D$6)/(12*INDEX(FUEL2MPG_Cls3,$A32-($A$24-1),MATCH(S$20,TECHOPTS_Cls3,0)))</f>
        <v>47058.723820003019</v>
      </c>
      <c r="T32" s="737">
        <f t="shared" si="30"/>
        <v>-39432.166500174106</v>
      </c>
      <c r="U32" s="304">
        <f t="shared" si="31"/>
        <v>-39432.166500174106</v>
      </c>
      <c r="V32" s="304">
        <f t="shared" si="32"/>
        <v>-145734.83193892107</v>
      </c>
      <c r="W32" s="304">
        <f t="shared" si="33"/>
        <v>-224918.15206914276</v>
      </c>
      <c r="X32" s="305">
        <f t="shared" si="34"/>
        <v>-39432.166500174106</v>
      </c>
      <c r="Y32" s="888" cm="1">
        <f t="array" aca="1" ref="Y32" ca="1">IF(AND(Y$22=TRUE,INDEX(CDRANGE_CLS3,MATCH($A32,$A$24:$A$67,0),MATCH(Y$20,$B$20:$G$20,0))&lt;$D$6/OPDAYS_Cls3),86,payback(C32,T32,disc_rate/12,85))</f>
        <v>86</v>
      </c>
      <c r="Z32" s="889" cm="1">
        <f t="array" aca="1" ref="Z32" ca="1">IF(AND(Z$22=TRUE,INDEX(CDRANGE_CLS3,MATCH($A32,$A$24:$A$67,0),MATCH(Z$20,$B$20:$G$20,0))&lt;$D$6/OPDAYS_Cls3),86,payback(D32,U32,disc_rate/12,85))</f>
        <v>86</v>
      </c>
      <c r="AA32" s="889" cm="1">
        <f t="array" ref="AA32">IF(AND(AA$22=TRUE,INDEX(CDRANGE_CLS3,MATCH($A32,$A$24:$A$67,0),MATCH(AA$20,$B$20:$G$20,0))&lt;$D$6/OPDAYS_Cls3),86,payback(E32,V32,disc_rate/12,85))</f>
        <v>86</v>
      </c>
      <c r="AB32" s="889" cm="1">
        <f t="array" aca="1" ref="AB32" ca="1">IF(AND(AB$22=TRUE,INDEX(CDRANGE_CLS3,MATCH($A32,$A$24:$A$67,0),MATCH(AB$20,$B$20:$G$20,0))&lt;$D$6/OPDAYS_Cls3),86,payback(F32,W32,disc_rate/12,85))</f>
        <v>86</v>
      </c>
      <c r="AC32" s="890" cm="1">
        <f t="array" aca="1" ref="AC32" ca="1">IF(AND(AC$22=TRUE,INDEX(CDRANGE_CLS3,MATCH($A32,$A$24:$A$67,0),MATCH(AC$20,$B$20:$G$20,0))&lt;$D$6/OPDAYS_Cls3),86,payback(G32,X32,disc_rate/12,85))</f>
        <v>86</v>
      </c>
      <c r="AD32" s="310">
        <f t="shared" si="35"/>
        <v>0</v>
      </c>
      <c r="AE32" s="311">
        <f t="shared" si="36"/>
        <v>0</v>
      </c>
      <c r="AF32" s="311">
        <f t="shared" si="37"/>
        <v>0</v>
      </c>
      <c r="AG32" s="311">
        <f t="shared" si="38"/>
        <v>0</v>
      </c>
      <c r="AH32" s="312">
        <f t="shared" si="39"/>
        <v>0</v>
      </c>
      <c r="AI32" s="596" cm="1">
        <f t="array" ref="AI32">IF($A32&lt;AI$23,0,AI$21+VLOOKUP($A32-AI$23,SCdata,2,1)*(AI$22-AI$21))*IF($D$5="Non-Central",INDEX(fuel_avail,$A32-$A$24+1,MATCH(O$21,Fuels,0)),1)</f>
        <v>0</v>
      </c>
      <c r="AJ32" s="314" cm="1">
        <f t="array" ref="AJ32">IF($A32&lt;AJ$23,0,AJ$21+VLOOKUP($A32-AJ$23,SCdata,2,1)*(AJ$22-AJ$21))*IF($D$5="Non-Central",INDEX(fuel_avail,$A32-$A$24+1,MATCH(P$21,Fuels,0)),1)</f>
        <v>0</v>
      </c>
      <c r="AK32" s="314" cm="1">
        <f t="array" ref="AK32">IF($A32&lt;AK$23,0,AK$21+VLOOKUP($A32-AK$23,SCdata,2,1)*(AK$22-AK$21))*IF($D$5="Non-Central",INDEX(fuel_avail,$A32-$A$24+1,MATCH(Q$21,Fuels,0)),1)</f>
        <v>0</v>
      </c>
      <c r="AL32" s="314" cm="1">
        <f t="array" ref="AL32">IF($A32&lt;AL$23,0,AL$21+VLOOKUP($A32-AL$23,SCdata,2,1)*(AL$22-AL$21))*IF($D$5="Non-Central",INDEX(fuel_avail,$A32-$A$24+1,MATCH(R$21,Fuels,0)),1)</f>
        <v>0</v>
      </c>
      <c r="AM32" s="599" cm="1">
        <f t="array" ref="AM32">IF($A32&lt;AM$23,0,AM$21+VLOOKUP($A32-AM$23,SCdata,2,1)*(AM$22-AM$21))*IF($D$5="Non-Central",INDEX(fuel_avail,$A32-$A$24+1,MATCH(S$21,Fuels,0)),1)</f>
        <v>0</v>
      </c>
      <c r="AN32" s="313">
        <f t="shared" si="52"/>
        <v>0</v>
      </c>
      <c r="AO32" s="314">
        <f t="shared" si="40"/>
        <v>0</v>
      </c>
      <c r="AP32" s="314">
        <f t="shared" si="40"/>
        <v>0</v>
      </c>
      <c r="AQ32" s="314">
        <f t="shared" si="40"/>
        <v>0</v>
      </c>
      <c r="AR32" s="599">
        <f t="shared" si="40"/>
        <v>0</v>
      </c>
      <c r="AS32" s="310">
        <f t="shared" ca="1" si="41"/>
        <v>0</v>
      </c>
      <c r="AT32" s="311">
        <f t="shared" ca="1" si="42"/>
        <v>0</v>
      </c>
      <c r="AU32" s="311">
        <f t="shared" si="43"/>
        <v>0</v>
      </c>
      <c r="AV32" s="311">
        <f t="shared" ca="1" si="44"/>
        <v>0</v>
      </c>
      <c r="AW32" s="312">
        <f t="shared" ca="1" si="45"/>
        <v>0</v>
      </c>
      <c r="AX32" s="310">
        <f t="shared" ca="1" si="46"/>
        <v>0</v>
      </c>
      <c r="AY32" s="311">
        <f t="shared" ca="1" si="46"/>
        <v>0</v>
      </c>
      <c r="AZ32" s="311">
        <f t="shared" si="46"/>
        <v>0</v>
      </c>
      <c r="BA32" s="311">
        <f t="shared" ca="1" si="46"/>
        <v>0</v>
      </c>
      <c r="BB32" s="312">
        <f t="shared" ca="1" si="46"/>
        <v>0</v>
      </c>
      <c r="BC32" s="310">
        <f t="shared" ca="1" si="53"/>
        <v>1</v>
      </c>
      <c r="BD32" s="311">
        <f t="shared" ca="1" si="47"/>
        <v>0</v>
      </c>
      <c r="BE32" s="311">
        <f t="shared" ca="1" si="48"/>
        <v>0</v>
      </c>
      <c r="BF32" s="311">
        <f t="shared" ca="1" si="49"/>
        <v>0</v>
      </c>
      <c r="BG32" s="311">
        <f t="shared" ca="1" si="50"/>
        <v>0</v>
      </c>
      <c r="BH32" s="312">
        <f t="shared" ca="1" si="51"/>
        <v>0</v>
      </c>
    </row>
    <row r="33" spans="1:62" x14ac:dyDescent="0.2">
      <c r="A33" s="316">
        <v>2016</v>
      </c>
      <c r="B33" s="826" cm="1">
        <f t="array" ref="B33">ROUND(INDEX(COST_Cls3,$A33-($A$24-1),MATCH(B$20,TECHOPTS_Cls3,0)),2)</f>
        <v>81898</v>
      </c>
      <c r="C33" s="827" cm="1">
        <f t="array" ref="C33">ROUND(INDEX(COST_Cls3,$A33-($A$24-1),MATCH(C$20,TECHOPTS_Cls3,0)),2)</f>
        <v>1000000</v>
      </c>
      <c r="D33" s="827" cm="1">
        <f t="array" ref="D33">ROUND(INDEX(COST_Cls3,$A33-($A$24-1),MATCH(D$20,TECHOPTS_Cls3,0)),2)</f>
        <v>1000000</v>
      </c>
      <c r="E33" s="827" cm="1">
        <f t="array" ref="E33">ROUND(INDEX(COST_Cls3,$A33-($A$24-1),MATCH(E$20,TECHOPTS_Cls3,0)),2)</f>
        <v>1000000</v>
      </c>
      <c r="F33" s="827" cm="1">
        <f t="array" ref="F33">ROUND(INDEX(COST_Cls3,$A33-($A$24-1),MATCH(F$20,TECHOPTS_Cls3,0)),2)</f>
        <v>1000000</v>
      </c>
      <c r="G33" s="828" cm="1">
        <f t="array" ref="G33">ROUND(INDEX(COST_Cls3,$A33-($A$24-1),MATCH(G$20,TECHOPTS_Cls3,0)),2)</f>
        <v>1000000</v>
      </c>
      <c r="H33" s="781" cm="1">
        <f t="array" ref="H33">IF(H$21="Single-fuel",1,1-MIN(INDEX(CDRANGE_CLS3,$A33-($A$24-1),MATCH(H$20,TECHOPTS_Cls3,0))*OPDAYS_Cls3/$D$6,1))</f>
        <v>1</v>
      </c>
      <c r="I33" s="782" cm="1">
        <f t="array" ref="I33">IF(I$21="Single-fuel",1,1-MIN(INDEX(CDRANGE_CLS3,$A33-($A$24-1),MATCH(I$20,TECHOPTS_Cls3,0))*OPDAYS_Cls3/$D$6,1))</f>
        <v>1</v>
      </c>
      <c r="J33" s="782" cm="1">
        <f t="array" ref="J33">IF(J$21="Single-fuel",1,1-MIN(INDEX(CDRANGE_CLS3,$A33-($A$24-1),MATCH(J$20,TECHOPTS_Cls3,0))*OPDAYS_Cls3/$D$6,1))</f>
        <v>1</v>
      </c>
      <c r="K33" s="782" cm="1">
        <f t="array" ref="K33">IF(K$21="Single-fuel",1,1-MIN(INDEX(CDRANGE_CLS3,$A33-($A$24-1),MATCH(K$20,TECHOPTS_Cls3,0))*OPDAYS_Cls3/$D$6,1))</f>
        <v>1</v>
      </c>
      <c r="L33" s="782" cm="1">
        <f t="array" ref="L33">IF(L$21="Single-fuel",1,1-MIN(INDEX(CDRANGE_CLS3,$A33-($A$24-1),MATCH(L$20,TECHOPTS_Cls3,0))*OPDAYS_Cls3/$D$6,1))</f>
        <v>1</v>
      </c>
      <c r="M33" s="783" cm="1">
        <f t="array" ref="M33">IF(M$21="Single-fuel",1,1-MIN(INDEX(CDRANGE_CLS3,$A33-($A$24-1),MATCH(M$20,TECHOPTS_Cls3,0))*OPDAYS_Cls3/$D$6,1))</f>
        <v>1</v>
      </c>
      <c r="N33" s="733" cm="1">
        <f t="array" ref="N33">VLOOKUP($A33,IF($D$5="Central",FuelPriceCent,FuelPriceNCent),MATCH(N$21,FuelPriceCols,0),0)*(H33*$D$6)/(12*INDEX(FUEL1MPG_Cls3,$A33-($A$24-1),MATCH(N$20,TECHOPTS_Cls3,0)))+IFERROR(VLOOKUP($A33,IF($D$5="Central",FuelPriceCent,FuelPriceNCent),MATCH(INDEX($G$11:$G$16,MATCH(N$20,$B$11:$B$16,0)),FuelPriceCols,0),0),0)*((1-H33)*$D$6)/(12*INDEX(FUEL2MPG_Cls3,$A33-($A$24-1),MATCH(N$20,TECHOPTS_Cls3,0)))</f>
        <v>6438.5562729644262</v>
      </c>
      <c r="O33" s="276" cm="1">
        <f t="array" ref="O33">VLOOKUP($A33,IF($D$5="Central",FuelPriceCent,FuelPriceNCent),MATCH(O$21,FuelPriceCols,0),0)*(I33*$D$6)/(12*INDEX(FUEL1MPG_Cls3,$A33-($A$24-1),MATCH(O$20,TECHOPTS_Cls3,0)))+IFERROR(VLOOKUP($A33,IF($D$5="Central",FuelPriceCent,FuelPriceNCent),MATCH(INDEX($G$11:$G$16,MATCH(O$20,$B$11:$B$16,0)),FuelPriceCols,0),0),0)*((1-I33)*$D$6)/(12*INDEX(FUEL2MPG_Cls3,$A33-($A$24-1),MATCH(O$20,TECHOPTS_Cls3,0)))</f>
        <v>40557.778115040222</v>
      </c>
      <c r="P33" s="276" cm="1">
        <f t="array" ref="P33">VLOOKUP($A33,IF($D$5="Central",FuelPriceCent,FuelPriceNCent),MATCH(P$21,FuelPriceCols,0),0)*(J33*$D$6)/(12*INDEX(FUEL1MPG_Cls3,$A33-($A$24-1),MATCH(P$20,TECHOPTS_Cls3,0)))+IFERROR(VLOOKUP($A33,IF($D$5="Central",FuelPriceCent,FuelPriceNCent),MATCH(INDEX($G$11:$G$16,MATCH(P$20,$B$11:$B$16,0)),FuelPriceCols,0),0),0)*((1-J33)*$D$6)/(12*INDEX(FUEL2MPG_Cls3,$A33-($A$24-1),MATCH(P$20,TECHOPTS_Cls3,0)))</f>
        <v>40557.778115040222</v>
      </c>
      <c r="Q33" s="276" cm="1">
        <f t="array" ref="Q33">VLOOKUP($A33,IF($D$5="Central",FuelPriceCent,FuelPriceNCent),MATCH(Q$21,FuelPriceCols,0),0)*(K33*$D$6)/(12*INDEX(FUEL1MPG_Cls3,$A33-($A$24-1),MATCH(Q$20,TECHOPTS_Cls3,0)))+IFERROR(VLOOKUP($A33,IF($D$5="Central",FuelPriceCent,FuelPriceNCent),MATCH(INDEX($G$11:$G$16,MATCH(Q$20,$B$11:$B$16,0)),FuelPriceCols,0),0),0)*((1-K33)*$D$6)/(12*INDEX(FUEL2MPG_Cls3,$A33-($A$24-1),MATCH(Q$20,TECHOPTS_Cls3,0)))</f>
        <v>150240.24916499996</v>
      </c>
      <c r="R33" s="276" cm="1">
        <f t="array" ref="R33">VLOOKUP($A33,IF($D$5="Central",FuelPriceCent,FuelPriceNCent),MATCH(R$21,FuelPriceCols,0),0)*(L33*$D$6)/(12*INDEX(FUEL1MPG_Cls3,$A33-($A$24-1),MATCH(R$20,TECHOPTS_Cls3,0)))+IFERROR(VLOOKUP($A33,IF($D$5="Central",FuelPriceCent,FuelPriceNCent),MATCH(INDEX($G$11:$G$16,MATCH(R$20,$B$11:$B$16,0)),FuelPriceCols,0),0),0)*((1-L33)*$D$6)/(12*INDEX(FUEL2MPG_Cls3,$A33-($A$24-1),MATCH(R$20,TECHOPTS_Cls3,0)))</f>
        <v>222855.34649776455</v>
      </c>
      <c r="S33" s="278" cm="1">
        <f t="array" ref="S33">VLOOKUP($A33,IF($D$5="Central",FuelPriceCent,FuelPriceNCent),MATCH(S$21,FuelPriceCols,0),0)*(M33*$D$6)/(12*INDEX(FUEL1MPG_Cls3,$A33-($A$24-1),MATCH(S$20,TECHOPTS_Cls3,0)))+IFERROR(VLOOKUP($A33,IF($D$5="Central",FuelPriceCent,FuelPriceNCent),MATCH(INDEX($G$11:$G$16,MATCH(S$20,$B$11:$B$16,0)),FuelPriceCols,0),0),0)*((1-M33)*$D$6)/(12*INDEX(FUEL2MPG_Cls3,$A33-($A$24-1),MATCH(S$20,TECHOPTS_Cls3,0)))</f>
        <v>40557.778115040222</v>
      </c>
      <c r="T33" s="733">
        <f t="shared" si="30"/>
        <v>-34119.2218420758</v>
      </c>
      <c r="U33" s="276">
        <f t="shared" si="31"/>
        <v>-34119.2218420758</v>
      </c>
      <c r="V33" s="276">
        <f t="shared" si="32"/>
        <v>-143801.69289203553</v>
      </c>
      <c r="W33" s="276">
        <f t="shared" si="33"/>
        <v>-216416.79022480012</v>
      </c>
      <c r="X33" s="277">
        <f t="shared" si="34"/>
        <v>-34119.2218420758</v>
      </c>
      <c r="Y33" s="279" cm="1">
        <f t="array" aca="1" ref="Y33" ca="1">IF(AND(Y$22=TRUE,INDEX(CDRANGE_CLS3,MATCH($A33,$A$24:$A$67,0),MATCH(Y$20,$B$20:$G$20,0))&lt;$D$6/OPDAYS_Cls3),86,payback(C33,T33,disc_rate/12,85))</f>
        <v>86</v>
      </c>
      <c r="Z33" s="280" cm="1">
        <f t="array" aca="1" ref="Z33" ca="1">IF(AND(Z$22=TRUE,INDEX(CDRANGE_CLS3,MATCH($A33,$A$24:$A$67,0),MATCH(Z$20,$B$20:$G$20,0))&lt;$D$6/OPDAYS_Cls3),86,payback(D33,U33,disc_rate/12,85))</f>
        <v>86</v>
      </c>
      <c r="AA33" s="280" cm="1">
        <f t="array" ref="AA33">IF(AND(AA$22=TRUE,INDEX(CDRANGE_CLS3,MATCH($A33,$A$24:$A$67,0),MATCH(AA$20,$B$20:$G$20,0))&lt;$D$6/OPDAYS_Cls3),86,payback(E33,V33,disc_rate/12,85))</f>
        <v>86</v>
      </c>
      <c r="AB33" s="280" cm="1">
        <f t="array" aca="1" ref="AB33" ca="1">IF(AND(AB$22=TRUE,INDEX(CDRANGE_CLS3,MATCH($A33,$A$24:$A$67,0),MATCH(AB$20,$B$20:$G$20,0))&lt;$D$6/OPDAYS_Cls3),86,payback(F33,W33,disc_rate/12,85))</f>
        <v>86</v>
      </c>
      <c r="AC33" s="281" cm="1">
        <f t="array" aca="1" ref="AC33" ca="1">IF(AND(AC$22=TRUE,INDEX(CDRANGE_CLS3,MATCH($A33,$A$24:$A$67,0),MATCH(AC$20,$B$20:$G$20,0))&lt;$D$6/OPDAYS_Cls3),86,payback(G33,X33,disc_rate/12,85))</f>
        <v>86</v>
      </c>
      <c r="AD33" s="282">
        <f t="shared" si="35"/>
        <v>0</v>
      </c>
      <c r="AE33" s="283">
        <f t="shared" si="36"/>
        <v>0</v>
      </c>
      <c r="AF33" s="283">
        <f t="shared" si="37"/>
        <v>0</v>
      </c>
      <c r="AG33" s="283">
        <f t="shared" si="38"/>
        <v>0</v>
      </c>
      <c r="AH33" s="284">
        <f t="shared" si="39"/>
        <v>0</v>
      </c>
      <c r="AI33" s="594" cm="1">
        <f t="array" ref="AI33">IF($A33&lt;AI$23,0,AI$21+VLOOKUP($A33-AI$23,SCdata,2,1)*(AI$22-AI$21))*IF($D$5="Non-Central",INDEX(fuel_avail,$A33-$A$24+1,MATCH(O$21,Fuels,0)),1)</f>
        <v>0</v>
      </c>
      <c r="AJ33" s="286" cm="1">
        <f t="array" ref="AJ33">IF($A33&lt;AJ$23,0,AJ$21+VLOOKUP($A33-AJ$23,SCdata,2,1)*(AJ$22-AJ$21))*IF($D$5="Non-Central",INDEX(fuel_avail,$A33-$A$24+1,MATCH(P$21,Fuels,0)),1)</f>
        <v>0</v>
      </c>
      <c r="AK33" s="286" cm="1">
        <f t="array" ref="AK33">IF($A33&lt;AK$23,0,AK$21+VLOOKUP($A33-AK$23,SCdata,2,1)*(AK$22-AK$21))*IF($D$5="Non-Central",INDEX(fuel_avail,$A33-$A$24+1,MATCH(Q$21,Fuels,0)),1)</f>
        <v>0</v>
      </c>
      <c r="AL33" s="286" cm="1">
        <f t="array" ref="AL33">IF($A33&lt;AL$23,0,AL$21+VLOOKUP($A33-AL$23,SCdata,2,1)*(AL$22-AL$21))*IF($D$5="Non-Central",INDEX(fuel_avail,$A33-$A$24+1,MATCH(R$21,Fuels,0)),1)</f>
        <v>0</v>
      </c>
      <c r="AM33" s="611" cm="1">
        <f t="array" ref="AM33">IF($A33&lt;AM$23,0,AM$21+VLOOKUP($A33-AM$23,SCdata,2,1)*(AM$22-AM$21))*IF($D$5="Non-Central",INDEX(fuel_avail,$A33-$A$24+1,MATCH(S$21,Fuels,0)),1)</f>
        <v>0</v>
      </c>
      <c r="AN33" s="285">
        <f t="shared" si="52"/>
        <v>0</v>
      </c>
      <c r="AO33" s="286">
        <f t="shared" si="40"/>
        <v>0</v>
      </c>
      <c r="AP33" s="286">
        <f t="shared" si="40"/>
        <v>0</v>
      </c>
      <c r="AQ33" s="286">
        <f t="shared" si="40"/>
        <v>0</v>
      </c>
      <c r="AR33" s="611">
        <f t="shared" si="40"/>
        <v>0</v>
      </c>
      <c r="AS33" s="282">
        <f t="shared" ca="1" si="41"/>
        <v>0</v>
      </c>
      <c r="AT33" s="283">
        <f t="shared" ca="1" si="42"/>
        <v>0</v>
      </c>
      <c r="AU33" s="283">
        <f t="shared" si="43"/>
        <v>0</v>
      </c>
      <c r="AV33" s="283">
        <f t="shared" ca="1" si="44"/>
        <v>0</v>
      </c>
      <c r="AW33" s="284">
        <f t="shared" ca="1" si="45"/>
        <v>0</v>
      </c>
      <c r="AX33" s="282">
        <f t="shared" ca="1" si="46"/>
        <v>0</v>
      </c>
      <c r="AY33" s="283">
        <f t="shared" ca="1" si="46"/>
        <v>0</v>
      </c>
      <c r="AZ33" s="283">
        <f t="shared" si="46"/>
        <v>0</v>
      </c>
      <c r="BA33" s="283">
        <f t="shared" ca="1" si="46"/>
        <v>0</v>
      </c>
      <c r="BB33" s="284">
        <f t="shared" ca="1" si="46"/>
        <v>0</v>
      </c>
      <c r="BC33" s="282">
        <f t="shared" ca="1" si="53"/>
        <v>1</v>
      </c>
      <c r="BD33" s="283">
        <f t="shared" ca="1" si="47"/>
        <v>0</v>
      </c>
      <c r="BE33" s="283">
        <f t="shared" ca="1" si="48"/>
        <v>0</v>
      </c>
      <c r="BF33" s="283">
        <f t="shared" ca="1" si="49"/>
        <v>0</v>
      </c>
      <c r="BG33" s="283">
        <f t="shared" ca="1" si="50"/>
        <v>0</v>
      </c>
      <c r="BH33" s="284">
        <f t="shared" ca="1" si="51"/>
        <v>0</v>
      </c>
    </row>
    <row r="34" spans="1:62" x14ac:dyDescent="0.2">
      <c r="A34" s="317">
        <v>2017</v>
      </c>
      <c r="B34" s="820" cm="1">
        <f t="array" ref="B34">ROUND(INDEX(COST_Cls3,$A34-($A$24-1),MATCH(B$20,TECHOPTS_Cls3,0)),2)</f>
        <v>81898</v>
      </c>
      <c r="C34" s="821" cm="1">
        <f t="array" ref="C34">ROUND(INDEX(COST_Cls3,$A34-($A$24-1),MATCH(C$20,TECHOPTS_Cls3,0)),2)</f>
        <v>1000000</v>
      </c>
      <c r="D34" s="821" cm="1">
        <f t="array" ref="D34">ROUND(INDEX(COST_Cls3,$A34-($A$24-1),MATCH(D$20,TECHOPTS_Cls3,0)),2)</f>
        <v>1000000</v>
      </c>
      <c r="E34" s="821" cm="1">
        <f t="array" ref="E34">ROUND(INDEX(COST_Cls3,$A34-($A$24-1),MATCH(E$20,TECHOPTS_Cls3,0)),2)</f>
        <v>1000000</v>
      </c>
      <c r="F34" s="821" cm="1">
        <f t="array" ref="F34">ROUND(INDEX(COST_Cls3,$A34-($A$24-1),MATCH(F$20,TECHOPTS_Cls3,0)),2)</f>
        <v>1000000</v>
      </c>
      <c r="G34" s="822" cm="1">
        <f t="array" ref="G34">ROUND(INDEX(COST_Cls3,$A34-($A$24-1),MATCH(G$20,TECHOPTS_Cls3,0)),2)</f>
        <v>1000000</v>
      </c>
      <c r="H34" s="781" cm="1">
        <f t="array" ref="H34">IF(H$21="Single-fuel",1,1-MIN(INDEX(CDRANGE_CLS3,$A34-($A$24-1),MATCH(H$20,TECHOPTS_Cls3,0))*OPDAYS_Cls3/$D$6,1))</f>
        <v>1</v>
      </c>
      <c r="I34" s="782" cm="1">
        <f t="array" ref="I34">IF(I$21="Single-fuel",1,1-MIN(INDEX(CDRANGE_CLS3,$A34-($A$24-1),MATCH(I$20,TECHOPTS_Cls3,0))*OPDAYS_Cls3/$D$6,1))</f>
        <v>1</v>
      </c>
      <c r="J34" s="782" cm="1">
        <f t="array" ref="J34">IF(J$21="Single-fuel",1,1-MIN(INDEX(CDRANGE_CLS3,$A34-($A$24-1),MATCH(J$20,TECHOPTS_Cls3,0))*OPDAYS_Cls3/$D$6,1))</f>
        <v>1</v>
      </c>
      <c r="K34" s="782" cm="1">
        <f t="array" ref="K34">IF(K$21="Single-fuel",1,1-MIN(INDEX(CDRANGE_CLS3,$A34-($A$24-1),MATCH(K$20,TECHOPTS_Cls3,0))*OPDAYS_Cls3/$D$6,1))</f>
        <v>1</v>
      </c>
      <c r="L34" s="782" cm="1">
        <f t="array" ref="L34">IF(L$21="Single-fuel",1,1-MIN(INDEX(CDRANGE_CLS3,$A34-($A$24-1),MATCH(L$20,TECHOPTS_Cls3,0))*OPDAYS_Cls3/$D$6,1))</f>
        <v>1</v>
      </c>
      <c r="M34" s="783" cm="1">
        <f t="array" ref="M34">IF(M$21="Single-fuel",1,1-MIN(INDEX(CDRANGE_CLS3,$A34-($A$24-1),MATCH(M$20,TECHOPTS_Cls3,0))*OPDAYS_Cls3/$D$6,1))</f>
        <v>1</v>
      </c>
      <c r="N34" s="733" cm="1">
        <f t="array" ref="N34">VLOOKUP($A34,IF($D$5="Central",FuelPriceCent,FuelPriceNCent),MATCH(N$21,FuelPriceCols,0),0)*(H34*$D$6)/(12*INDEX(FUEL1MPG_Cls3,$A34-($A$24-1),MATCH(N$20,TECHOPTS_Cls3,0)))+IFERROR(VLOOKUP($A34,IF($D$5="Central",FuelPriceCent,FuelPriceNCent),MATCH(INDEX($G$11:$G$16,MATCH(N$20,$B$11:$B$16,0)),FuelPriceCols,0),0),0)*((1-H34)*$D$6)/(12*INDEX(FUEL2MPG_Cls3,$A34-($A$24-1),MATCH(N$20,TECHOPTS_Cls3,0)))</f>
        <v>7409.7640807509688</v>
      </c>
      <c r="O34" s="276" cm="1">
        <f t="array" ref="O34">VLOOKUP($A34,IF($D$5="Central",FuelPriceCent,FuelPriceNCent),MATCH(O$21,FuelPriceCols,0),0)*(I34*$D$6)/(12*INDEX(FUEL1MPG_Cls3,$A34-($A$24-1),MATCH(O$20,TECHOPTS_Cls3,0)))+IFERROR(VLOOKUP($A34,IF($D$5="Central",FuelPriceCent,FuelPriceNCent),MATCH(INDEX($G$11:$G$16,MATCH(O$20,$B$11:$B$16,0)),FuelPriceCols,0),0),0)*((1-I34)*$D$6)/(12*INDEX(FUEL2MPG_Cls3,$A34-($A$24-1),MATCH(O$20,TECHOPTS_Cls3,0)))</f>
        <v>47643.895128244047</v>
      </c>
      <c r="P34" s="276" cm="1">
        <f t="array" ref="P34">VLOOKUP($A34,IF($D$5="Central",FuelPriceCent,FuelPriceNCent),MATCH(P$21,FuelPriceCols,0),0)*(J34*$D$6)/(12*INDEX(FUEL1MPG_Cls3,$A34-($A$24-1),MATCH(P$20,TECHOPTS_Cls3,0)))+IFERROR(VLOOKUP($A34,IF($D$5="Central",FuelPriceCent,FuelPriceNCent),MATCH(INDEX($G$11:$G$16,MATCH(P$20,$B$11:$B$16,0)),FuelPriceCols,0),0),0)*((1-J34)*$D$6)/(12*INDEX(FUEL2MPG_Cls3,$A34-($A$24-1),MATCH(P$20,TECHOPTS_Cls3,0)))</f>
        <v>47643.895128244047</v>
      </c>
      <c r="Q34" s="276" cm="1">
        <f t="array" ref="Q34">VLOOKUP($A34,IF($D$5="Central",FuelPriceCent,FuelPriceNCent),MATCH(Q$21,FuelPriceCols,0),0)*(K34*$D$6)/(12*INDEX(FUEL1MPG_Cls3,$A34-($A$24-1),MATCH(Q$20,TECHOPTS_Cls3,0)))+IFERROR(VLOOKUP($A34,IF($D$5="Central",FuelPriceCent,FuelPriceNCent),MATCH(INDEX($G$11:$G$16,MATCH(Q$20,$B$11:$B$16,0)),FuelPriceCols,0),0),0)*((1-K34)*$D$6)/(12*INDEX(FUEL2MPG_Cls3,$A34-($A$24-1),MATCH(Q$20,TECHOPTS_Cls3,0)))</f>
        <v>151363.92721499997</v>
      </c>
      <c r="R34" s="276" cm="1">
        <f t="array" ref="R34">VLOOKUP($A34,IF($D$5="Central",FuelPriceCent,FuelPriceNCent),MATCH(R$21,FuelPriceCols,0),0)*(L34*$D$6)/(12*INDEX(FUEL1MPG_Cls3,$A34-($A$24-1),MATCH(R$20,TECHOPTS_Cls3,0)))+IFERROR(VLOOKUP($A34,IF($D$5="Central",FuelPriceCent,FuelPriceNCent),MATCH(INDEX($G$11:$G$16,MATCH(R$20,$B$11:$B$16,0)),FuelPriceCols,0),0),0)*((1-L34)*$D$6)/(12*INDEX(FUEL2MPG_Cls3,$A34-($A$24-1),MATCH(R$20,TECHOPTS_Cls3,0)))</f>
        <v>213165.98360655736</v>
      </c>
      <c r="S34" s="278" cm="1">
        <f t="array" ref="S34">VLOOKUP($A34,IF($D$5="Central",FuelPriceCent,FuelPriceNCent),MATCH(S$21,FuelPriceCols,0),0)*(M34*$D$6)/(12*INDEX(FUEL1MPG_Cls3,$A34-($A$24-1),MATCH(S$20,TECHOPTS_Cls3,0)))+IFERROR(VLOOKUP($A34,IF($D$5="Central",FuelPriceCent,FuelPriceNCent),MATCH(INDEX($G$11:$G$16,MATCH(S$20,$B$11:$B$16,0)),FuelPriceCols,0),0),0)*((1-M34)*$D$6)/(12*INDEX(FUEL2MPG_Cls3,$A34-($A$24-1),MATCH(S$20,TECHOPTS_Cls3,0)))</f>
        <v>47643.895128244047</v>
      </c>
      <c r="T34" s="734">
        <f t="shared" si="30"/>
        <v>-40234.13104749308</v>
      </c>
      <c r="U34" s="290">
        <f t="shared" si="31"/>
        <v>-40234.13104749308</v>
      </c>
      <c r="V34" s="290">
        <f t="shared" si="32"/>
        <v>-143954.16313424901</v>
      </c>
      <c r="W34" s="290">
        <f t="shared" si="33"/>
        <v>-205756.2195258064</v>
      </c>
      <c r="X34" s="291">
        <f t="shared" si="34"/>
        <v>-40234.13104749308</v>
      </c>
      <c r="Y34" s="279" cm="1">
        <f t="array" aca="1" ref="Y34" ca="1">IF(AND(Y$22=TRUE,INDEX(CDRANGE_CLS3,MATCH($A34,$A$24:$A$67,0),MATCH(Y$20,$B$20:$G$20,0))&lt;$D$6/OPDAYS_Cls3),86,payback(C34,T34,disc_rate/12,85))</f>
        <v>86</v>
      </c>
      <c r="Z34" s="280" cm="1">
        <f t="array" aca="1" ref="Z34" ca="1">IF(AND(Z$22=TRUE,INDEX(CDRANGE_CLS3,MATCH($A34,$A$24:$A$67,0),MATCH(Z$20,$B$20:$G$20,0))&lt;$D$6/OPDAYS_Cls3),86,payback(D34,U34,disc_rate/12,85))</f>
        <v>86</v>
      </c>
      <c r="AA34" s="280" cm="1">
        <f t="array" ref="AA34">IF(AND(AA$22=TRUE,INDEX(CDRANGE_CLS3,MATCH($A34,$A$24:$A$67,0),MATCH(AA$20,$B$20:$G$20,0))&lt;$D$6/OPDAYS_Cls3),86,payback(E34,V34,disc_rate/12,85))</f>
        <v>86</v>
      </c>
      <c r="AB34" s="280" cm="1">
        <f t="array" aca="1" ref="AB34" ca="1">IF(AND(AB$22=TRUE,INDEX(CDRANGE_CLS3,MATCH($A34,$A$24:$A$67,0),MATCH(AB$20,$B$20:$G$20,0))&lt;$D$6/OPDAYS_Cls3),86,payback(F34,W34,disc_rate/12,85))</f>
        <v>86</v>
      </c>
      <c r="AC34" s="281" cm="1">
        <f t="array" aca="1" ref="AC34" ca="1">IF(AND(AC$22=TRUE,INDEX(CDRANGE_CLS3,MATCH($A34,$A$24:$A$67,0),MATCH(AC$20,$B$20:$G$20,0))&lt;$D$6/OPDAYS_Cls3),86,payback(G34,X34,disc_rate/12,85))</f>
        <v>86</v>
      </c>
      <c r="AD34" s="296">
        <f t="shared" si="35"/>
        <v>0</v>
      </c>
      <c r="AE34" s="297">
        <f t="shared" si="36"/>
        <v>0</v>
      </c>
      <c r="AF34" s="297">
        <f t="shared" si="37"/>
        <v>0</v>
      </c>
      <c r="AG34" s="297">
        <f t="shared" si="38"/>
        <v>0</v>
      </c>
      <c r="AH34" s="298">
        <f t="shared" si="39"/>
        <v>0</v>
      </c>
      <c r="AI34" s="595" cm="1">
        <f t="array" ref="AI34">IF($A34&lt;AI$23,0,AI$21+VLOOKUP($A34-AI$23,SCdata,2,1)*(AI$22-AI$21))*IF($D$5="Non-Central",INDEX(fuel_avail,$A34-$A$24+1,MATCH(O$21,Fuels,0)),1)</f>
        <v>0</v>
      </c>
      <c r="AJ34" s="300" cm="1">
        <f t="array" ref="AJ34">IF($A34&lt;AJ$23,0,AJ$21+VLOOKUP($A34-AJ$23,SCdata,2,1)*(AJ$22-AJ$21))*IF($D$5="Non-Central",INDEX(fuel_avail,$A34-$A$24+1,MATCH(P$21,Fuels,0)),1)</f>
        <v>0</v>
      </c>
      <c r="AK34" s="300" cm="1">
        <f t="array" ref="AK34">IF($A34&lt;AK$23,0,AK$21+VLOOKUP($A34-AK$23,SCdata,2,1)*(AK$22-AK$21))*IF($D$5="Non-Central",INDEX(fuel_avail,$A34-$A$24+1,MATCH(Q$21,Fuels,0)),1)</f>
        <v>0</v>
      </c>
      <c r="AL34" s="300" cm="1">
        <f t="array" ref="AL34">IF($A34&lt;AL$23,0,AL$21+VLOOKUP($A34-AL$23,SCdata,2,1)*(AL$22-AL$21))*IF($D$5="Non-Central",INDEX(fuel_avail,$A34-$A$24+1,MATCH(R$21,Fuels,0)),1)</f>
        <v>0</v>
      </c>
      <c r="AM34" s="598" cm="1">
        <f t="array" ref="AM34">IF($A34&lt;AM$23,0,AM$21+VLOOKUP($A34-AM$23,SCdata,2,1)*(AM$22-AM$21))*IF($D$5="Non-Central",INDEX(fuel_avail,$A34-$A$24+1,MATCH(S$21,Fuels,0)),1)</f>
        <v>0</v>
      </c>
      <c r="AN34" s="299">
        <f t="shared" si="52"/>
        <v>0</v>
      </c>
      <c r="AO34" s="300">
        <f t="shared" si="40"/>
        <v>0</v>
      </c>
      <c r="AP34" s="300">
        <f t="shared" si="40"/>
        <v>0</v>
      </c>
      <c r="AQ34" s="300">
        <f t="shared" si="40"/>
        <v>0</v>
      </c>
      <c r="AR34" s="598">
        <f t="shared" si="40"/>
        <v>0</v>
      </c>
      <c r="AS34" s="296">
        <f t="shared" ca="1" si="41"/>
        <v>0</v>
      </c>
      <c r="AT34" s="297">
        <f t="shared" ca="1" si="42"/>
        <v>0</v>
      </c>
      <c r="AU34" s="297">
        <f t="shared" si="43"/>
        <v>0</v>
      </c>
      <c r="AV34" s="297">
        <f t="shared" ca="1" si="44"/>
        <v>0</v>
      </c>
      <c r="AW34" s="298">
        <f t="shared" ca="1" si="45"/>
        <v>0</v>
      </c>
      <c r="AX34" s="296">
        <f t="shared" ca="1" si="46"/>
        <v>0</v>
      </c>
      <c r="AY34" s="297">
        <f t="shared" ca="1" si="46"/>
        <v>0</v>
      </c>
      <c r="AZ34" s="297">
        <f t="shared" si="46"/>
        <v>0</v>
      </c>
      <c r="BA34" s="297">
        <f t="shared" ca="1" si="46"/>
        <v>0</v>
      </c>
      <c r="BB34" s="298">
        <f t="shared" ca="1" si="46"/>
        <v>0</v>
      </c>
      <c r="BC34" s="296">
        <f t="shared" ca="1" si="53"/>
        <v>1</v>
      </c>
      <c r="BD34" s="297">
        <f t="shared" ca="1" si="47"/>
        <v>0</v>
      </c>
      <c r="BE34" s="297">
        <f t="shared" ca="1" si="48"/>
        <v>0</v>
      </c>
      <c r="BF34" s="297">
        <f t="shared" ca="1" si="49"/>
        <v>0</v>
      </c>
      <c r="BG34" s="297">
        <f t="shared" ca="1" si="50"/>
        <v>0</v>
      </c>
      <c r="BH34" s="298">
        <f t="shared" ca="1" si="51"/>
        <v>0</v>
      </c>
    </row>
    <row r="35" spans="1:62" x14ac:dyDescent="0.2">
      <c r="A35" s="317">
        <v>2018</v>
      </c>
      <c r="B35" s="820" cm="1">
        <f t="array" ref="B35">ROUND(INDEX(COST_Cls3,$A35-($A$24-1),MATCH(B$20,TECHOPTS_Cls3,0)),2)</f>
        <v>81898</v>
      </c>
      <c r="C35" s="821" cm="1">
        <f t="array" ref="C35">ROUND(INDEX(COST_Cls3,$A35-($A$24-1),MATCH(C$20,TECHOPTS_Cls3,0)),2)</f>
        <v>1000000</v>
      </c>
      <c r="D35" s="821" cm="1">
        <f t="array" ref="D35">ROUND(INDEX(COST_Cls3,$A35-($A$24-1),MATCH(D$20,TECHOPTS_Cls3,0)),2)</f>
        <v>1000000</v>
      </c>
      <c r="E35" s="821" cm="1">
        <f t="array" ref="E35">ROUND(INDEX(COST_Cls3,$A35-($A$24-1),MATCH(E$20,TECHOPTS_Cls3,0)),2)</f>
        <v>1000000</v>
      </c>
      <c r="F35" s="821" cm="1">
        <f t="array" ref="F35">ROUND(INDEX(COST_Cls3,$A35-($A$24-1),MATCH(F$20,TECHOPTS_Cls3,0)),2)</f>
        <v>1000000</v>
      </c>
      <c r="G35" s="822" cm="1">
        <f t="array" ref="G35">ROUND(INDEX(COST_Cls3,$A35-($A$24-1),MATCH(G$20,TECHOPTS_Cls3,0)),2)</f>
        <v>1000000</v>
      </c>
      <c r="H35" s="781" cm="1">
        <f t="array" ref="H35">IF(H$21="Single-fuel",1,1-MIN(INDEX(CDRANGE_CLS3,$A35-($A$24-1),MATCH(H$20,TECHOPTS_Cls3,0))*OPDAYS_Cls3/$D$6,1))</f>
        <v>1</v>
      </c>
      <c r="I35" s="782" cm="1">
        <f t="array" ref="I35">IF(I$21="Single-fuel",1,1-MIN(INDEX(CDRANGE_CLS3,$A35-($A$24-1),MATCH(I$20,TECHOPTS_Cls3,0))*OPDAYS_Cls3/$D$6,1))</f>
        <v>1</v>
      </c>
      <c r="J35" s="782" cm="1">
        <f t="array" ref="J35">IF(J$21="Single-fuel",1,1-MIN(INDEX(CDRANGE_CLS3,$A35-($A$24-1),MATCH(J$20,TECHOPTS_Cls3,0))*OPDAYS_Cls3/$D$6,1))</f>
        <v>1</v>
      </c>
      <c r="K35" s="782" cm="1">
        <f t="array" ref="K35">IF(K$21="Single-fuel",1,1-MIN(INDEX(CDRANGE_CLS3,$A35-($A$24-1),MATCH(K$20,TECHOPTS_Cls3,0))*OPDAYS_Cls3/$D$6,1))</f>
        <v>1</v>
      </c>
      <c r="L35" s="782" cm="1">
        <f t="array" ref="L35">IF(L$21="Single-fuel",1,1-MIN(INDEX(CDRANGE_CLS3,$A35-($A$24-1),MATCH(L$20,TECHOPTS_Cls3,0))*OPDAYS_Cls3/$D$6,1))</f>
        <v>1</v>
      </c>
      <c r="M35" s="783" cm="1">
        <f t="array" ref="M35">IF(M$21="Single-fuel",1,1-MIN(INDEX(CDRANGE_CLS3,$A35-($A$24-1),MATCH(M$20,TECHOPTS_Cls3,0))*OPDAYS_Cls3/$D$6,1))</f>
        <v>1</v>
      </c>
      <c r="N35" s="733" cm="1">
        <f t="array" ref="N35">VLOOKUP($A35,IF($D$5="Central",FuelPriceCent,FuelPriceNCent),MATCH(N$21,FuelPriceCols,0),0)*(H35*$D$6)/(12*INDEX(FUEL1MPG_Cls3,$A35-($A$24-1),MATCH(N$20,TECHOPTS_Cls3,0)))+IFERROR(VLOOKUP($A35,IF($D$5="Central",FuelPriceCent,FuelPriceNCent),MATCH(INDEX($G$11:$G$16,MATCH(N$20,$B$11:$B$16,0)),FuelPriceCols,0),0),0)*((1-H35)*$D$6)/(12*INDEX(FUEL2MPG_Cls3,$A35-($A$24-1),MATCH(N$20,TECHOPTS_Cls3,0)))</f>
        <v>9155.5525421042057</v>
      </c>
      <c r="O35" s="276" cm="1">
        <f t="array" ref="O35">VLOOKUP($A35,IF($D$5="Central",FuelPriceCent,FuelPriceNCent),MATCH(O$21,FuelPriceCols,0),0)*(I35*$D$6)/(12*INDEX(FUEL1MPG_Cls3,$A35-($A$24-1),MATCH(O$20,TECHOPTS_Cls3,0)))+IFERROR(VLOOKUP($A35,IF($D$5="Central",FuelPriceCent,FuelPriceNCent),MATCH(INDEX($G$11:$G$16,MATCH(O$20,$B$11:$B$16,0)),FuelPriceCols,0),0),0)*((1-I35)*$D$6)/(12*INDEX(FUEL2MPG_Cls3,$A35-($A$24-1),MATCH(O$20,TECHOPTS_Cls3,0)))</f>
        <v>58529.412657459405</v>
      </c>
      <c r="P35" s="276" cm="1">
        <f t="array" ref="P35">VLOOKUP($A35,IF($D$5="Central",FuelPriceCent,FuelPriceNCent),MATCH(P$21,FuelPriceCols,0),0)*(J35*$D$6)/(12*INDEX(FUEL1MPG_Cls3,$A35-($A$24-1),MATCH(P$20,TECHOPTS_Cls3,0)))+IFERROR(VLOOKUP($A35,IF($D$5="Central",FuelPriceCent,FuelPriceNCent),MATCH(INDEX($G$11:$G$16,MATCH(P$20,$B$11:$B$16,0)),FuelPriceCols,0),0),0)*((1-J35)*$D$6)/(12*INDEX(FUEL2MPG_Cls3,$A35-($A$24-1),MATCH(P$20,TECHOPTS_Cls3,0)))</f>
        <v>58529.412657459405</v>
      </c>
      <c r="Q35" s="276" cm="1">
        <f t="array" ref="Q35">VLOOKUP($A35,IF($D$5="Central",FuelPriceCent,FuelPriceNCent),MATCH(Q$21,FuelPriceCols,0),0)*(K35*$D$6)/(12*INDEX(FUEL1MPG_Cls3,$A35-($A$24-1),MATCH(Q$20,TECHOPTS_Cls3,0)))+IFERROR(VLOOKUP($A35,IF($D$5="Central",FuelPriceCent,FuelPriceNCent),MATCH(INDEX($G$11:$G$16,MATCH(Q$20,$B$11:$B$16,0)),FuelPriceCols,0),0),0)*((1-K35)*$D$6)/(12*INDEX(FUEL2MPG_Cls3,$A35-($A$24-1),MATCH(Q$20,TECHOPTS_Cls3,0)))</f>
        <v>173136.46374000001</v>
      </c>
      <c r="R35" s="276" cm="1">
        <f t="array" ref="R35">VLOOKUP($A35,IF($D$5="Central",FuelPriceCent,FuelPriceNCent),MATCH(R$21,FuelPriceCols,0),0)*(L35*$D$6)/(12*INDEX(FUEL1MPG_Cls3,$A35-($A$24-1),MATCH(R$20,TECHOPTS_Cls3,0)))+IFERROR(VLOOKUP($A35,IF($D$5="Central",FuelPriceCent,FuelPriceNCent),MATCH(INDEX($G$11:$G$16,MATCH(R$20,$B$11:$B$16,0)),FuelPriceCols,0),0),0)*((1-L35)*$D$6)/(12*INDEX(FUEL2MPG_Cls3,$A35-($A$24-1),MATCH(R$20,TECHOPTS_Cls3,0)))</f>
        <v>203476.62071535023</v>
      </c>
      <c r="S35" s="278" cm="1">
        <f t="array" ref="S35">VLOOKUP($A35,IF($D$5="Central",FuelPriceCent,FuelPriceNCent),MATCH(S$21,FuelPriceCols,0),0)*(M35*$D$6)/(12*INDEX(FUEL1MPG_Cls3,$A35-($A$24-1),MATCH(S$20,TECHOPTS_Cls3,0)))+IFERROR(VLOOKUP($A35,IF($D$5="Central",FuelPriceCent,FuelPriceNCent),MATCH(INDEX($G$11:$G$16,MATCH(S$20,$B$11:$B$16,0)),FuelPriceCols,0),0),0)*((1-M35)*$D$6)/(12*INDEX(FUEL2MPG_Cls3,$A35-($A$24-1),MATCH(S$20,TECHOPTS_Cls3,0)))</f>
        <v>58529.412657459405</v>
      </c>
      <c r="T35" s="734">
        <f t="shared" si="30"/>
        <v>-49373.860115355201</v>
      </c>
      <c r="U35" s="290">
        <f t="shared" si="31"/>
        <v>-49373.860115355201</v>
      </c>
      <c r="V35" s="290">
        <f t="shared" si="32"/>
        <v>-163980.9111978958</v>
      </c>
      <c r="W35" s="290">
        <f t="shared" si="33"/>
        <v>-194321.06817324602</v>
      </c>
      <c r="X35" s="291">
        <f t="shared" si="34"/>
        <v>-49373.860115355201</v>
      </c>
      <c r="Y35" s="279" cm="1">
        <f t="array" aca="1" ref="Y35" ca="1">IF(AND(Y$22=TRUE,INDEX(CDRANGE_CLS3,MATCH($A35,$A$24:$A$67,0),MATCH(Y$20,$B$20:$G$20,0))&lt;$D$6/OPDAYS_Cls3),86,payback(C35,T35,disc_rate/12,85))</f>
        <v>86</v>
      </c>
      <c r="Z35" s="280" cm="1">
        <f t="array" aca="1" ref="Z35" ca="1">IF(AND(Z$22=TRUE,INDEX(CDRANGE_CLS3,MATCH($A35,$A$24:$A$67,0),MATCH(Z$20,$B$20:$G$20,0))&lt;$D$6/OPDAYS_Cls3),86,payback(D35,U35,disc_rate/12,85))</f>
        <v>86</v>
      </c>
      <c r="AA35" s="280" cm="1">
        <f t="array" ref="AA35">IF(AND(AA$22=TRUE,INDEX(CDRANGE_CLS3,MATCH($A35,$A$24:$A$67,0),MATCH(AA$20,$B$20:$G$20,0))&lt;$D$6/OPDAYS_Cls3),86,payback(E35,V35,disc_rate/12,85))</f>
        <v>86</v>
      </c>
      <c r="AB35" s="280" cm="1">
        <f t="array" aca="1" ref="AB35" ca="1">IF(AND(AB$22=TRUE,INDEX(CDRANGE_CLS3,MATCH($A35,$A$24:$A$67,0),MATCH(AB$20,$B$20:$G$20,0))&lt;$D$6/OPDAYS_Cls3),86,payback(F35,W35,disc_rate/12,85))</f>
        <v>86</v>
      </c>
      <c r="AC35" s="281" cm="1">
        <f t="array" aca="1" ref="AC35" ca="1">IF(AND(AC$22=TRUE,INDEX(CDRANGE_CLS3,MATCH($A35,$A$24:$A$67,0),MATCH(AC$20,$B$20:$G$20,0))&lt;$D$6/OPDAYS_Cls3),86,payback(G35,X35,disc_rate/12,85))</f>
        <v>86</v>
      </c>
      <c r="AD35" s="296">
        <f t="shared" si="35"/>
        <v>0</v>
      </c>
      <c r="AE35" s="297">
        <f t="shared" si="36"/>
        <v>0</v>
      </c>
      <c r="AF35" s="297">
        <f t="shared" si="37"/>
        <v>0</v>
      </c>
      <c r="AG35" s="297">
        <f t="shared" si="38"/>
        <v>0</v>
      </c>
      <c r="AH35" s="298">
        <f t="shared" si="39"/>
        <v>0</v>
      </c>
      <c r="AI35" s="595" cm="1">
        <f t="array" ref="AI35">IF($A35&lt;AI$23,0,AI$21+VLOOKUP($A35-AI$23,SCdata,2,1)*(AI$22-AI$21))*IF($D$5="Non-Central",INDEX(fuel_avail,$A35-$A$24+1,MATCH(O$21,Fuels,0)),1)</f>
        <v>0</v>
      </c>
      <c r="AJ35" s="300" cm="1">
        <f t="array" ref="AJ35">IF($A35&lt;AJ$23,0,AJ$21+VLOOKUP($A35-AJ$23,SCdata,2,1)*(AJ$22-AJ$21))*IF($D$5="Non-Central",INDEX(fuel_avail,$A35-$A$24+1,MATCH(P$21,Fuels,0)),1)</f>
        <v>0</v>
      </c>
      <c r="AK35" s="300" cm="1">
        <f t="array" ref="AK35">IF($A35&lt;AK$23,0,AK$21+VLOOKUP($A35-AK$23,SCdata,2,1)*(AK$22-AK$21))*IF($D$5="Non-Central",INDEX(fuel_avail,$A35-$A$24+1,MATCH(Q$21,Fuels,0)),1)</f>
        <v>0</v>
      </c>
      <c r="AL35" s="300" cm="1">
        <f t="array" ref="AL35">IF($A35&lt;AL$23,0,AL$21+VLOOKUP($A35-AL$23,SCdata,2,1)*(AL$22-AL$21))*IF($D$5="Non-Central",INDEX(fuel_avail,$A35-$A$24+1,MATCH(R$21,Fuels,0)),1)</f>
        <v>0</v>
      </c>
      <c r="AM35" s="598" cm="1">
        <f t="array" ref="AM35">IF($A35&lt;AM$23,0,AM$21+VLOOKUP($A35-AM$23,SCdata,2,1)*(AM$22-AM$21))*IF($D$5="Non-Central",INDEX(fuel_avail,$A35-$A$24+1,MATCH(S$21,Fuels,0)),1)</f>
        <v>0</v>
      </c>
      <c r="AN35" s="299">
        <f t="shared" si="52"/>
        <v>0</v>
      </c>
      <c r="AO35" s="300">
        <f t="shared" si="40"/>
        <v>0</v>
      </c>
      <c r="AP35" s="300">
        <f t="shared" si="40"/>
        <v>0</v>
      </c>
      <c r="AQ35" s="300">
        <f t="shared" si="40"/>
        <v>0</v>
      </c>
      <c r="AR35" s="598">
        <f t="shared" si="40"/>
        <v>0</v>
      </c>
      <c r="AS35" s="296">
        <f t="shared" ca="1" si="41"/>
        <v>0</v>
      </c>
      <c r="AT35" s="297">
        <f t="shared" ca="1" si="42"/>
        <v>0</v>
      </c>
      <c r="AU35" s="297">
        <f t="shared" si="43"/>
        <v>0</v>
      </c>
      <c r="AV35" s="297">
        <f t="shared" ca="1" si="44"/>
        <v>0</v>
      </c>
      <c r="AW35" s="298">
        <f t="shared" ca="1" si="45"/>
        <v>0</v>
      </c>
      <c r="AX35" s="296">
        <f t="shared" ca="1" si="46"/>
        <v>0</v>
      </c>
      <c r="AY35" s="297">
        <f t="shared" ca="1" si="46"/>
        <v>0</v>
      </c>
      <c r="AZ35" s="297">
        <f t="shared" si="46"/>
        <v>0</v>
      </c>
      <c r="BA35" s="297">
        <f t="shared" ca="1" si="46"/>
        <v>0</v>
      </c>
      <c r="BB35" s="298">
        <f t="shared" ca="1" si="46"/>
        <v>0</v>
      </c>
      <c r="BC35" s="296">
        <f t="shared" ca="1" si="53"/>
        <v>1</v>
      </c>
      <c r="BD35" s="297">
        <f t="shared" ca="1" si="47"/>
        <v>0</v>
      </c>
      <c r="BE35" s="297">
        <f t="shared" ca="1" si="48"/>
        <v>0</v>
      </c>
      <c r="BF35" s="297">
        <f t="shared" ca="1" si="49"/>
        <v>0</v>
      </c>
      <c r="BG35" s="297">
        <f t="shared" ca="1" si="50"/>
        <v>0</v>
      </c>
      <c r="BH35" s="298">
        <f t="shared" ca="1" si="51"/>
        <v>0</v>
      </c>
    </row>
    <row r="36" spans="1:62" x14ac:dyDescent="0.2">
      <c r="A36" s="317">
        <v>2019</v>
      </c>
      <c r="B36" s="820" cm="1">
        <f t="array" ref="B36">ROUND(INDEX(COST_Cls3,$A36-($A$24-1),MATCH(B$20,TECHOPTS_Cls3,0)),2)</f>
        <v>81898</v>
      </c>
      <c r="C36" s="821" cm="1">
        <f t="array" ref="C36">ROUND(INDEX(COST_Cls3,$A36-($A$24-1),MATCH(C$20,TECHOPTS_Cls3,0)),2)</f>
        <v>1000000</v>
      </c>
      <c r="D36" s="821" cm="1">
        <f t="array" ref="D36">ROUND(INDEX(COST_Cls3,$A36-($A$24-1),MATCH(D$20,TECHOPTS_Cls3,0)),2)</f>
        <v>1000000</v>
      </c>
      <c r="E36" s="821" cm="1">
        <f t="array" ref="E36">ROUND(INDEX(COST_Cls3,$A36-($A$24-1),MATCH(E$20,TECHOPTS_Cls3,0)),2)</f>
        <v>1000000</v>
      </c>
      <c r="F36" s="821" cm="1">
        <f t="array" ref="F36">ROUND(INDEX(COST_Cls3,$A36-($A$24-1),MATCH(F$20,TECHOPTS_Cls3,0)),2)</f>
        <v>1000000</v>
      </c>
      <c r="G36" s="822" cm="1">
        <f t="array" ref="G36">ROUND(INDEX(COST_Cls3,$A36-($A$24-1),MATCH(G$20,TECHOPTS_Cls3,0)),2)</f>
        <v>1000000</v>
      </c>
      <c r="H36" s="781" cm="1">
        <f t="array" ref="H36">IF(H$21="Single-fuel",1,1-MIN(INDEX(CDRANGE_CLS3,$A36-($A$24-1),MATCH(H$20,TECHOPTS_Cls3,0))*OPDAYS_Cls3/$D$6,1))</f>
        <v>1</v>
      </c>
      <c r="I36" s="782" cm="1">
        <f t="array" ref="I36">IF(I$21="Single-fuel",1,1-MIN(INDEX(CDRANGE_CLS3,$A36-($A$24-1),MATCH(I$20,TECHOPTS_Cls3,0))*OPDAYS_Cls3/$D$6,1))</f>
        <v>1</v>
      </c>
      <c r="J36" s="782" cm="1">
        <f t="array" ref="J36">IF(J$21="Single-fuel",1,1-MIN(INDEX(CDRANGE_CLS3,$A36-($A$24-1),MATCH(J$20,TECHOPTS_Cls3,0))*OPDAYS_Cls3/$D$6,1))</f>
        <v>1</v>
      </c>
      <c r="K36" s="782" cm="1">
        <f t="array" ref="K36">IF(K$21="Single-fuel",1,1-MIN(INDEX(CDRANGE_CLS3,$A36-($A$24-1),MATCH(K$20,TECHOPTS_Cls3,0))*OPDAYS_Cls3/$D$6,1))</f>
        <v>1</v>
      </c>
      <c r="L36" s="782" cm="1">
        <f t="array" ref="L36">IF(L$21="Single-fuel",1,1-MIN(INDEX(CDRANGE_CLS3,$A36-($A$24-1),MATCH(L$20,TECHOPTS_Cls3,0))*OPDAYS_Cls3/$D$6,1))</f>
        <v>1</v>
      </c>
      <c r="M36" s="783" cm="1">
        <f t="array" ref="M36">IF(M$21="Single-fuel",1,1-MIN(INDEX(CDRANGE_CLS3,$A36-($A$24-1),MATCH(M$20,TECHOPTS_Cls3,0))*OPDAYS_Cls3/$D$6,1))</f>
        <v>1</v>
      </c>
      <c r="N36" s="733" cm="1">
        <f t="array" ref="N36">VLOOKUP($A36,IF($D$5="Central",FuelPriceCent,FuelPriceNCent),MATCH(N$21,FuelPriceCols,0),0)*(H36*$D$6)/(12*INDEX(FUEL1MPG_Cls3,$A36-($A$24-1),MATCH(N$20,TECHOPTS_Cls3,0)))+IFERROR(VLOOKUP($A36,IF($D$5="Central",FuelPriceCent,FuelPriceNCent),MATCH(INDEX($G$11:$G$16,MATCH(N$20,$B$11:$B$16,0)),FuelPriceCols,0),0),0)*((1-H36)*$D$6)/(12*INDEX(FUEL2MPG_Cls3,$A36-($A$24-1),MATCH(N$20,TECHOPTS_Cls3,0)))</f>
        <v>8938.0882325842467</v>
      </c>
      <c r="O36" s="276" cm="1">
        <f t="array" ref="O36">VLOOKUP($A36,IF($D$5="Central",FuelPriceCent,FuelPriceNCent),MATCH(O$21,FuelPriceCols,0),0)*(I36*$D$6)/(12*INDEX(FUEL1MPG_Cls3,$A36-($A$24-1),MATCH(O$20,TECHOPTS_Cls3,0)))+IFERROR(VLOOKUP($A36,IF($D$5="Central",FuelPriceCent,FuelPriceNCent),MATCH(INDEX($G$11:$G$16,MATCH(O$20,$B$11:$B$16,0)),FuelPriceCols,0),0),0)*((1-I36)*$D$6)/(12*INDEX(FUEL2MPG_Cls3,$A36-($A$24-1),MATCH(O$20,TECHOPTS_Cls3,0)))</f>
        <v>57501.868042499998</v>
      </c>
      <c r="P36" s="276" cm="1">
        <f t="array" ref="P36">VLOOKUP($A36,IF($D$5="Central",FuelPriceCent,FuelPriceNCent),MATCH(P$21,FuelPriceCols,0),0)*(J36*$D$6)/(12*INDEX(FUEL1MPG_Cls3,$A36-($A$24-1),MATCH(P$20,TECHOPTS_Cls3,0)))+IFERROR(VLOOKUP($A36,IF($D$5="Central",FuelPriceCent,FuelPriceNCent),MATCH(INDEX($G$11:$G$16,MATCH(P$20,$B$11:$B$16,0)),FuelPriceCols,0),0),0)*((1-J36)*$D$6)/(12*INDEX(FUEL2MPG_Cls3,$A36-($A$24-1),MATCH(P$20,TECHOPTS_Cls3,0)))</f>
        <v>57501.868042499998</v>
      </c>
      <c r="Q36" s="276" cm="1">
        <f t="array" ref="Q36">VLOOKUP($A36,IF($D$5="Central",FuelPriceCent,FuelPriceNCent),MATCH(Q$21,FuelPriceCols,0),0)*(K36*$D$6)/(12*INDEX(FUEL1MPG_Cls3,$A36-($A$24-1),MATCH(Q$20,TECHOPTS_Cls3,0)))+IFERROR(VLOOKUP($A36,IF($D$5="Central",FuelPriceCent,FuelPriceNCent),MATCH(INDEX($G$11:$G$16,MATCH(Q$20,$B$11:$B$16,0)),FuelPriceCols,0),0),0)*((1-K36)*$D$6)/(12*INDEX(FUEL2MPG_Cls3,$A36-($A$24-1),MATCH(Q$20,TECHOPTS_Cls3,0)))</f>
        <v>172955.07534750001</v>
      </c>
      <c r="R36" s="276" cm="1">
        <f t="array" ref="R36">VLOOKUP($A36,IF($D$5="Central",FuelPriceCent,FuelPriceNCent),MATCH(R$21,FuelPriceCols,0),0)*(L36*$D$6)/(12*INDEX(FUEL1MPG_Cls3,$A36-($A$24-1),MATCH(R$20,TECHOPTS_Cls3,0)))+IFERROR(VLOOKUP($A36,IF($D$5="Central",FuelPriceCent,FuelPriceNCent),MATCH(INDEX($G$11:$G$16,MATCH(R$20,$B$11:$B$16,0)),FuelPriceCols,0),0),0)*((1-L36)*$D$6)/(12*INDEX(FUEL2MPG_Cls3,$A36-($A$24-1),MATCH(R$20,TECHOPTS_Cls3,0)))</f>
        <v>193787.25782414307</v>
      </c>
      <c r="S36" s="278" cm="1">
        <f t="array" ref="S36">VLOOKUP($A36,IF($D$5="Central",FuelPriceCent,FuelPriceNCent),MATCH(S$21,FuelPriceCols,0),0)*(M36*$D$6)/(12*INDEX(FUEL1MPG_Cls3,$A36-($A$24-1),MATCH(S$20,TECHOPTS_Cls3,0)))+IFERROR(VLOOKUP($A36,IF($D$5="Central",FuelPriceCent,FuelPriceNCent),MATCH(INDEX($G$11:$G$16,MATCH(S$20,$B$11:$B$16,0)),FuelPriceCols,0),0),0)*((1-M36)*$D$6)/(12*INDEX(FUEL2MPG_Cls3,$A36-($A$24-1),MATCH(S$20,TECHOPTS_Cls3,0)))</f>
        <v>57501.868042499998</v>
      </c>
      <c r="T36" s="734">
        <f t="shared" si="30"/>
        <v>-48563.779809915752</v>
      </c>
      <c r="U36" s="290">
        <f t="shared" si="31"/>
        <v>-48563.779809915752</v>
      </c>
      <c r="V36" s="290">
        <f t="shared" si="32"/>
        <v>-164016.98711491577</v>
      </c>
      <c r="W36" s="290">
        <f t="shared" si="33"/>
        <v>-184849.16959155884</v>
      </c>
      <c r="X36" s="291">
        <f t="shared" si="34"/>
        <v>-48563.779809915752</v>
      </c>
      <c r="Y36" s="279" cm="1">
        <f t="array" aca="1" ref="Y36" ca="1">IF(AND(Y$22=TRUE,INDEX(CDRANGE_CLS3,MATCH($A36,$A$24:$A$67,0),MATCH(Y$20,$B$20:$G$20,0))&lt;$D$6/OPDAYS_Cls3),86,payback(C36,T36,disc_rate/12,85))</f>
        <v>86</v>
      </c>
      <c r="Z36" s="280" cm="1">
        <f t="array" aca="1" ref="Z36" ca="1">IF(AND(Z$22=TRUE,INDEX(CDRANGE_CLS3,MATCH($A36,$A$24:$A$67,0),MATCH(Z$20,$B$20:$G$20,0))&lt;$D$6/OPDAYS_Cls3),86,payback(D36,U36,disc_rate/12,85))</f>
        <v>86</v>
      </c>
      <c r="AA36" s="280" cm="1">
        <f t="array" ref="AA36">IF(AND(AA$22=TRUE,INDEX(CDRANGE_CLS3,MATCH($A36,$A$24:$A$67,0),MATCH(AA$20,$B$20:$G$20,0))&lt;$D$6/OPDAYS_Cls3),86,payback(E36,V36,disc_rate/12,85))</f>
        <v>86</v>
      </c>
      <c r="AB36" s="280" cm="1">
        <f t="array" aca="1" ref="AB36" ca="1">IF(AND(AB$22=TRUE,INDEX(CDRANGE_CLS3,MATCH($A36,$A$24:$A$67,0),MATCH(AB$20,$B$20:$G$20,0))&lt;$D$6/OPDAYS_Cls3),86,payback(F36,W36,disc_rate/12,85))</f>
        <v>86</v>
      </c>
      <c r="AC36" s="281" cm="1">
        <f t="array" aca="1" ref="AC36" ca="1">IF(AND(AC$22=TRUE,INDEX(CDRANGE_CLS3,MATCH($A36,$A$24:$A$67,0),MATCH(AC$20,$B$20:$G$20,0))&lt;$D$6/OPDAYS_Cls3),86,payback(G36,X36,disc_rate/12,85))</f>
        <v>86</v>
      </c>
      <c r="AD36" s="296">
        <f t="shared" si="35"/>
        <v>0</v>
      </c>
      <c r="AE36" s="297">
        <f t="shared" si="36"/>
        <v>0</v>
      </c>
      <c r="AF36" s="297">
        <f t="shared" si="37"/>
        <v>0</v>
      </c>
      <c r="AG36" s="297">
        <f t="shared" si="38"/>
        <v>0</v>
      </c>
      <c r="AH36" s="298">
        <f t="shared" si="39"/>
        <v>0</v>
      </c>
      <c r="AI36" s="595" cm="1">
        <f t="array" ref="AI36">IF($A36&lt;AI$23,0,AI$21+VLOOKUP($A36-AI$23,SCdata,2,1)*(AI$22-AI$21))*IF($D$5="Non-Central",INDEX(fuel_avail,$A36-$A$24+1,MATCH(O$21,Fuels,0)),1)</f>
        <v>0</v>
      </c>
      <c r="AJ36" s="300" cm="1">
        <f t="array" ref="AJ36">IF($A36&lt;AJ$23,0,AJ$21+VLOOKUP($A36-AJ$23,SCdata,2,1)*(AJ$22-AJ$21))*IF($D$5="Non-Central",INDEX(fuel_avail,$A36-$A$24+1,MATCH(P$21,Fuels,0)),1)</f>
        <v>0</v>
      </c>
      <c r="AK36" s="300" cm="1">
        <f t="array" ref="AK36">IF($A36&lt;AK$23,0,AK$21+VLOOKUP($A36-AK$23,SCdata,2,1)*(AK$22-AK$21))*IF($D$5="Non-Central",INDEX(fuel_avail,$A36-$A$24+1,MATCH(Q$21,Fuels,0)),1)</f>
        <v>0</v>
      </c>
      <c r="AL36" s="300" cm="1">
        <f t="array" ref="AL36">IF($A36&lt;AL$23,0,AL$21+VLOOKUP($A36-AL$23,SCdata,2,1)*(AL$22-AL$21))*IF($D$5="Non-Central",INDEX(fuel_avail,$A36-$A$24+1,MATCH(R$21,Fuels,0)),1)</f>
        <v>0</v>
      </c>
      <c r="AM36" s="598" cm="1">
        <f t="array" ref="AM36">IF($A36&lt;AM$23,0,AM$21+VLOOKUP($A36-AM$23,SCdata,2,1)*(AM$22-AM$21))*IF($D$5="Non-Central",INDEX(fuel_avail,$A36-$A$24+1,MATCH(S$21,Fuels,0)),1)</f>
        <v>0</v>
      </c>
      <c r="AN36" s="299">
        <f t="shared" si="52"/>
        <v>0</v>
      </c>
      <c r="AO36" s="300">
        <f t="shared" si="40"/>
        <v>0</v>
      </c>
      <c r="AP36" s="300">
        <f t="shared" si="40"/>
        <v>0</v>
      </c>
      <c r="AQ36" s="300">
        <f t="shared" si="40"/>
        <v>0</v>
      </c>
      <c r="AR36" s="598">
        <f t="shared" si="40"/>
        <v>0</v>
      </c>
      <c r="AS36" s="296">
        <f t="shared" ca="1" si="41"/>
        <v>0</v>
      </c>
      <c r="AT36" s="297">
        <f t="shared" ca="1" si="42"/>
        <v>0</v>
      </c>
      <c r="AU36" s="297">
        <f t="shared" si="43"/>
        <v>0</v>
      </c>
      <c r="AV36" s="297">
        <f t="shared" ca="1" si="44"/>
        <v>0</v>
      </c>
      <c r="AW36" s="298">
        <f t="shared" ca="1" si="45"/>
        <v>0</v>
      </c>
      <c r="AX36" s="296">
        <f t="shared" ca="1" si="46"/>
        <v>0</v>
      </c>
      <c r="AY36" s="297">
        <f t="shared" ca="1" si="46"/>
        <v>0</v>
      </c>
      <c r="AZ36" s="297">
        <f t="shared" si="46"/>
        <v>0</v>
      </c>
      <c r="BA36" s="297">
        <f t="shared" ca="1" si="46"/>
        <v>0</v>
      </c>
      <c r="BB36" s="298">
        <f t="shared" ca="1" si="46"/>
        <v>0</v>
      </c>
      <c r="BC36" s="296">
        <f t="shared" ca="1" si="53"/>
        <v>1</v>
      </c>
      <c r="BD36" s="297">
        <f t="shared" ca="1" si="47"/>
        <v>0</v>
      </c>
      <c r="BE36" s="297">
        <f t="shared" ca="1" si="48"/>
        <v>0</v>
      </c>
      <c r="BF36" s="297">
        <f t="shared" ca="1" si="49"/>
        <v>0</v>
      </c>
      <c r="BG36" s="297">
        <f t="shared" ca="1" si="50"/>
        <v>0</v>
      </c>
      <c r="BH36" s="298">
        <f t="shared" ca="1" si="51"/>
        <v>0</v>
      </c>
    </row>
    <row r="37" spans="1:62" ht="13.5" thickBot="1" x14ac:dyDescent="0.25">
      <c r="A37" s="618">
        <v>2020</v>
      </c>
      <c r="B37" s="814" cm="1">
        <f t="array" ref="B37">ROUND(INDEX(COST_Cls3,$A37-($A$24-1),MATCH(B$20,TECHOPTS_Cls3,0)),2)</f>
        <v>81898</v>
      </c>
      <c r="C37" s="815" cm="1">
        <f t="array" ref="C37">ROUND(INDEX(COST_Cls3,$A37-($A$24-1),MATCH(C$20,TECHOPTS_Cls3,0)),2)</f>
        <v>1000000</v>
      </c>
      <c r="D37" s="815" cm="1">
        <f t="array" ref="D37">ROUND(INDEX(COST_Cls3,$A37-($A$24-1),MATCH(D$20,TECHOPTS_Cls3,0)),2)</f>
        <v>1000000</v>
      </c>
      <c r="E37" s="815" cm="1">
        <f t="array" ref="E37">ROUND(INDEX(COST_Cls3,$A37-($A$24-1),MATCH(E$20,TECHOPTS_Cls3,0)),2)</f>
        <v>1000000</v>
      </c>
      <c r="F37" s="815" cm="1">
        <f t="array" ref="F37">ROUND(INDEX(COST_Cls3,$A37-($A$24-1),MATCH(F$20,TECHOPTS_Cls3,0)),2)</f>
        <v>1000000</v>
      </c>
      <c r="G37" s="816" cm="1">
        <f t="array" ref="G37">ROUND(INDEX(COST_Cls3,$A37-($A$24-1),MATCH(G$20,TECHOPTS_Cls3,0)),2)</f>
        <v>1000000</v>
      </c>
      <c r="H37" s="781" cm="1">
        <f t="array" ref="H37">IF(H$21="Single-fuel",1,1-MIN(INDEX(CDRANGE_CLS3,$A37-($A$24-1),MATCH(H$20,TECHOPTS_Cls3,0))*OPDAYS_Cls3/$D$6,1))</f>
        <v>1</v>
      </c>
      <c r="I37" s="782" cm="1">
        <f t="array" ref="I37">IF(I$21="Single-fuel",1,1-MIN(INDEX(CDRANGE_CLS3,$A37-($A$24-1),MATCH(I$20,TECHOPTS_Cls3,0))*OPDAYS_Cls3/$D$6,1))</f>
        <v>1</v>
      </c>
      <c r="J37" s="782" cm="1">
        <f t="array" ref="J37">IF(J$21="Single-fuel",1,1-MIN(INDEX(CDRANGE_CLS3,$A37-($A$24-1),MATCH(J$20,TECHOPTS_Cls3,0))*OPDAYS_Cls3/$D$6,1))</f>
        <v>1</v>
      </c>
      <c r="K37" s="782" cm="1">
        <f t="array" ref="K37">IF(K$21="Single-fuel",1,1-MIN(INDEX(CDRANGE_CLS3,$A37-($A$24-1),MATCH(K$20,TECHOPTS_Cls3,0))*OPDAYS_Cls3/$D$6,1))</f>
        <v>1</v>
      </c>
      <c r="L37" s="782" cm="1">
        <f t="array" ref="L37">IF(L$21="Single-fuel",1,1-MIN(INDEX(CDRANGE_CLS3,$A37-($A$24-1),MATCH(L$20,TECHOPTS_Cls3,0))*OPDAYS_Cls3/$D$6,1))</f>
        <v>1</v>
      </c>
      <c r="M37" s="783" cm="1">
        <f t="array" ref="M37">IF(M$21="Single-fuel",1,1-MIN(INDEX(CDRANGE_CLS3,$A37-($A$24-1),MATCH(M$20,TECHOPTS_Cls3,0))*OPDAYS_Cls3/$D$6,1))</f>
        <v>1</v>
      </c>
      <c r="N37" s="882" cm="1">
        <f t="array" ref="N37">VLOOKUP($A37,IF($D$5="Central",FuelPriceCent,FuelPriceNCent),MATCH(N$21,FuelPriceCols,0),0)*(H37*$D$6)/(12*INDEX(FUEL1MPG_Cls3,$A37-($A$24-1),MATCH(N$20,TECHOPTS_Cls3,0)))+IFERROR(VLOOKUP($A37,IF($D$5="Central",FuelPriceCent,FuelPriceNCent),MATCH(INDEX($G$11:$G$16,MATCH(N$20,$B$11:$B$16,0)),FuelPriceCols,0),0),0)*((1-H37)*$D$6)/(12*INDEX(FUEL2MPG_Cls3,$A37-($A$24-1),MATCH(N$20,TECHOPTS_Cls3,0)))</f>
        <v>8557.4827364328121</v>
      </c>
      <c r="O37" s="776" cm="1">
        <f t="array" ref="O37">VLOOKUP($A37,IF($D$5="Central",FuelPriceCent,FuelPriceNCent),MATCH(O$21,FuelPriceCols,0),0)*(I37*$D$6)/(12*INDEX(FUEL1MPG_Cls3,$A37-($A$24-1),MATCH(O$20,TECHOPTS_Cls3,0)))+IFERROR(VLOOKUP($A37,IF($D$5="Central",FuelPriceCent,FuelPriceNCent),MATCH(INDEX($G$11:$G$16,MATCH(O$20,$B$11:$B$16,0)),FuelPriceCols,0),0),0)*((1-I37)*$D$6)/(12*INDEX(FUEL2MPG_Cls3,$A37-($A$24-1),MATCH(O$20,TECHOPTS_Cls3,0)))</f>
        <v>55507.544953124998</v>
      </c>
      <c r="P37" s="776" cm="1">
        <f t="array" ref="P37">VLOOKUP($A37,IF($D$5="Central",FuelPriceCent,FuelPriceNCent),MATCH(P$21,FuelPriceCols,0),0)*(J37*$D$6)/(12*INDEX(FUEL1MPG_Cls3,$A37-($A$24-1),MATCH(P$20,TECHOPTS_Cls3,0)))+IFERROR(VLOOKUP($A37,IF($D$5="Central",FuelPriceCent,FuelPriceNCent),MATCH(INDEX($G$11:$G$16,MATCH(P$20,$B$11:$B$16,0)),FuelPriceCols,0),0),0)*((1-J37)*$D$6)/(12*INDEX(FUEL2MPG_Cls3,$A37-($A$24-1),MATCH(P$20,TECHOPTS_Cls3,0)))</f>
        <v>55507.544953124998</v>
      </c>
      <c r="Q37" s="776" cm="1">
        <f t="array" ref="Q37">VLOOKUP($A37,IF($D$5="Central",FuelPriceCent,FuelPriceNCent),MATCH(Q$21,FuelPriceCols,0),0)*(K37*$D$6)/(12*INDEX(FUEL1MPG_Cls3,$A37-($A$24-1),MATCH(Q$20,TECHOPTS_Cls3,0)))+IFERROR(VLOOKUP($A37,IF($D$5="Central",FuelPriceCent,FuelPriceNCent),MATCH(INDEX($G$11:$G$16,MATCH(Q$20,$B$11:$B$16,0)),FuelPriceCols,0),0),0)*((1-K37)*$D$6)/(12*INDEX(FUEL2MPG_Cls3,$A37-($A$24-1),MATCH(Q$20,TECHOPTS_Cls3,0)))</f>
        <v>176388.87298125002</v>
      </c>
      <c r="R37" s="776" cm="1">
        <f t="array" ref="R37">VLOOKUP($A37,IF($D$5="Central",FuelPriceCent,FuelPriceNCent),MATCH(R$21,FuelPriceCols,0),0)*(L37*$D$6)/(12*INDEX(FUEL1MPG_Cls3,$A37-($A$24-1),MATCH(R$20,TECHOPTS_Cls3,0)))+IFERROR(VLOOKUP($A37,IF($D$5="Central",FuelPriceCent,FuelPriceNCent),MATCH(INDEX($G$11:$G$16,MATCH(R$20,$B$11:$B$16,0)),FuelPriceCols,0),0),0)*((1-L37)*$D$6)/(12*INDEX(FUEL2MPG_Cls3,$A37-($A$24-1),MATCH(R$20,TECHOPTS_Cls3,0)))</f>
        <v>184097.89493293592</v>
      </c>
      <c r="S37" s="777" cm="1">
        <f t="array" ref="S37">VLOOKUP($A37,IF($D$5="Central",FuelPriceCent,FuelPriceNCent),MATCH(S$21,FuelPriceCols,0),0)*(M37*$D$6)/(12*INDEX(FUEL1MPG_Cls3,$A37-($A$24-1),MATCH(S$20,TECHOPTS_Cls3,0)))+IFERROR(VLOOKUP($A37,IF($D$5="Central",FuelPriceCent,FuelPriceNCent),MATCH(INDEX($G$11:$G$16,MATCH(S$20,$B$11:$B$16,0)),FuelPriceCols,0),0),0)*((1-M37)*$D$6)/(12*INDEX(FUEL2MPG_Cls3,$A37-($A$24-1),MATCH(S$20,TECHOPTS_Cls3,0)))</f>
        <v>55507.544953124998</v>
      </c>
      <c r="T37" s="735">
        <f t="shared" si="30"/>
        <v>-46950.062216692182</v>
      </c>
      <c r="U37" s="619">
        <f t="shared" si="31"/>
        <v>-46950.062216692182</v>
      </c>
      <c r="V37" s="619">
        <f t="shared" si="32"/>
        <v>-167831.39024481722</v>
      </c>
      <c r="W37" s="619">
        <f t="shared" si="33"/>
        <v>-175540.41219650311</v>
      </c>
      <c r="X37" s="620">
        <f t="shared" si="34"/>
        <v>-46950.062216692182</v>
      </c>
      <c r="Y37" s="723" cm="1">
        <f t="array" aca="1" ref="Y37" ca="1">IF(AND(Y$22=TRUE,INDEX(CDRANGE_CLS3,MATCH($A37,$A$24:$A$67,0),MATCH(Y$20,$B$20:$G$20,0))&lt;$D$6/OPDAYS_Cls3),86,payback(C37,T37,disc_rate/12,85))</f>
        <v>86</v>
      </c>
      <c r="Z37" s="724" cm="1">
        <f t="array" aca="1" ref="Z37" ca="1">IF(AND(Z$22=TRUE,INDEX(CDRANGE_CLS3,MATCH($A37,$A$24:$A$67,0),MATCH(Z$20,$B$20:$G$20,0))&lt;$D$6/OPDAYS_Cls3),86,payback(D37,U37,disc_rate/12,85))</f>
        <v>86</v>
      </c>
      <c r="AA37" s="724" cm="1">
        <f t="array" ref="AA37">IF(AND(AA$22=TRUE,INDEX(CDRANGE_CLS3,MATCH($A37,$A$24:$A$67,0),MATCH(AA$20,$B$20:$G$20,0))&lt;$D$6/OPDAYS_Cls3),86,payback(E37,V37,disc_rate/12,85))</f>
        <v>86</v>
      </c>
      <c r="AB37" s="724" cm="1">
        <f t="array" aca="1" ref="AB37" ca="1">IF(AND(AB$22=TRUE,INDEX(CDRANGE_CLS3,MATCH($A37,$A$24:$A$67,0),MATCH(AB$20,$B$20:$G$20,0))&lt;$D$6/OPDAYS_Cls3),86,payback(F37,W37,disc_rate/12,85))</f>
        <v>86</v>
      </c>
      <c r="AC37" s="891" cm="1">
        <f t="array" aca="1" ref="AC37" ca="1">IF(AND(AC$22=TRUE,INDEX(CDRANGE_CLS3,MATCH($A37,$A$24:$A$67,0),MATCH(AC$20,$B$20:$G$20,0))&lt;$D$6/OPDAYS_Cls3),86,payback(G37,X37,disc_rate/12,85))</f>
        <v>86</v>
      </c>
      <c r="AD37" s="624">
        <f t="shared" si="35"/>
        <v>0</v>
      </c>
      <c r="AE37" s="625">
        <f t="shared" si="36"/>
        <v>0</v>
      </c>
      <c r="AF37" s="625">
        <f t="shared" si="37"/>
        <v>0</v>
      </c>
      <c r="AG37" s="625">
        <f t="shared" si="38"/>
        <v>0</v>
      </c>
      <c r="AH37" s="626">
        <f t="shared" si="39"/>
        <v>0</v>
      </c>
      <c r="AI37" s="627" cm="1">
        <f t="array" ref="AI37">IF($A37&lt;AI$23,0,AI$21+VLOOKUP($A37-AI$23,SCdata,2,1)*(AI$22-AI$21))*IF($D$5="Non-Central",INDEX(fuel_avail,$A37-$A$24+1,MATCH(O$21,Fuels,0)),1)</f>
        <v>0</v>
      </c>
      <c r="AJ37" s="628" cm="1">
        <f t="array" ref="AJ37">IF($A37&lt;AJ$23,0,AJ$21+VLOOKUP($A37-AJ$23,SCdata,2,1)*(AJ$22-AJ$21))*IF($D$5="Non-Central",INDEX(fuel_avail,$A37-$A$24+1,MATCH(P$21,Fuels,0)),1)</f>
        <v>0</v>
      </c>
      <c r="AK37" s="628" cm="1">
        <f t="array" ref="AK37">IF($A37&lt;AK$23,0,AK$21+VLOOKUP($A37-AK$23,SCdata,2,1)*(AK$22-AK$21))*IF($D$5="Non-Central",INDEX(fuel_avail,$A37-$A$24+1,MATCH(Q$21,Fuels,0)),1)</f>
        <v>0</v>
      </c>
      <c r="AL37" s="628" cm="1">
        <f t="array" ref="AL37">IF($A37&lt;AL$23,0,AL$21+VLOOKUP($A37-AL$23,SCdata,2,1)*(AL$22-AL$21))*IF($D$5="Non-Central",INDEX(fuel_avail,$A37-$A$24+1,MATCH(R$21,Fuels,0)),1)</f>
        <v>0</v>
      </c>
      <c r="AM37" s="629" cm="1">
        <f t="array" ref="AM37">IF($A37&lt;AM$23,0,AM$21+VLOOKUP($A37-AM$23,SCdata,2,1)*(AM$22-AM$21))*IF($D$5="Non-Central",INDEX(fuel_avail,$A37-$A$24+1,MATCH(S$21,Fuels,0)),1)</f>
        <v>0</v>
      </c>
      <c r="AN37" s="630">
        <f t="shared" si="52"/>
        <v>0</v>
      </c>
      <c r="AO37" s="628">
        <f t="shared" si="40"/>
        <v>0</v>
      </c>
      <c r="AP37" s="628">
        <f t="shared" si="40"/>
        <v>0</v>
      </c>
      <c r="AQ37" s="628">
        <f t="shared" si="40"/>
        <v>0</v>
      </c>
      <c r="AR37" s="629">
        <f t="shared" si="40"/>
        <v>0</v>
      </c>
      <c r="AS37" s="624">
        <f t="shared" ca="1" si="41"/>
        <v>0</v>
      </c>
      <c r="AT37" s="625">
        <f t="shared" ca="1" si="42"/>
        <v>0</v>
      </c>
      <c r="AU37" s="625">
        <f t="shared" si="43"/>
        <v>0</v>
      </c>
      <c r="AV37" s="625">
        <f t="shared" ca="1" si="44"/>
        <v>0</v>
      </c>
      <c r="AW37" s="626">
        <f t="shared" ca="1" si="45"/>
        <v>0</v>
      </c>
      <c r="AX37" s="624">
        <f t="shared" ca="1" si="46"/>
        <v>0</v>
      </c>
      <c r="AY37" s="625">
        <f t="shared" ca="1" si="46"/>
        <v>0</v>
      </c>
      <c r="AZ37" s="625">
        <f t="shared" si="46"/>
        <v>0</v>
      </c>
      <c r="BA37" s="625">
        <f t="shared" ca="1" si="46"/>
        <v>0</v>
      </c>
      <c r="BB37" s="626">
        <f t="shared" ca="1" si="46"/>
        <v>0</v>
      </c>
      <c r="BC37" s="624">
        <f t="shared" ca="1" si="53"/>
        <v>1</v>
      </c>
      <c r="BD37" s="625">
        <f t="shared" ca="1" si="47"/>
        <v>0</v>
      </c>
      <c r="BE37" s="625">
        <f t="shared" ca="1" si="48"/>
        <v>0</v>
      </c>
      <c r="BF37" s="625">
        <f t="shared" ca="1" si="49"/>
        <v>0</v>
      </c>
      <c r="BG37" s="625">
        <f t="shared" ca="1" si="50"/>
        <v>0</v>
      </c>
      <c r="BH37" s="626">
        <f t="shared" ca="1" si="51"/>
        <v>0</v>
      </c>
    </row>
    <row r="38" spans="1:62" x14ac:dyDescent="0.2">
      <c r="A38" s="318">
        <v>2021</v>
      </c>
      <c r="B38" s="817" cm="1">
        <f t="array" ref="B38">ROUND(INDEX(COST_Cls3,$A38-($A$24-1),MATCH(B$20,TECHOPTS_Cls3,0)),2)</f>
        <v>81898</v>
      </c>
      <c r="C38" s="818" cm="1">
        <f t="array" ref="C38">ROUND(INDEX(COST_Cls3,$A38-($A$24-1),MATCH(C$20,TECHOPTS_Cls3,0)),2)</f>
        <v>1000000</v>
      </c>
      <c r="D38" s="818" cm="1">
        <f t="array" ref="D38">ROUND(INDEX(COST_Cls3,$A38-($A$24-1),MATCH(D$20,TECHOPTS_Cls3,0)),2)</f>
        <v>1000000</v>
      </c>
      <c r="E38" s="818" cm="1">
        <f t="array" ref="E38">ROUND(INDEX(COST_Cls3,$A38-($A$24-1),MATCH(E$20,TECHOPTS_Cls3,0)),2)</f>
        <v>1000000</v>
      </c>
      <c r="F38" s="818" cm="1">
        <f t="array" ref="F38">ROUND(INDEX(COST_Cls3,$A38-($A$24-1),MATCH(F$20,TECHOPTS_Cls3,0)),2)</f>
        <v>1000000</v>
      </c>
      <c r="G38" s="819" cm="1">
        <f t="array" ref="G38">ROUND(INDEX(COST_Cls3,$A38-($A$24-1),MATCH(G$20,TECHOPTS_Cls3,0)),2)</f>
        <v>1000000</v>
      </c>
      <c r="H38" s="781" cm="1">
        <f t="array" ref="H38">IF(H$21="Single-fuel",1,1-MIN(INDEX(CDRANGE_CLS3,$A38-($A$24-1),MATCH(H$20,TECHOPTS_Cls3,0))*OPDAYS_Cls3/$D$6,1))</f>
        <v>1</v>
      </c>
      <c r="I38" s="782" cm="1">
        <f t="array" ref="I38">IF(I$21="Single-fuel",1,1-MIN(INDEX(CDRANGE_CLS3,$A38-($A$24-1),MATCH(I$20,TECHOPTS_Cls3,0))*OPDAYS_Cls3/$D$6,1))</f>
        <v>1</v>
      </c>
      <c r="J38" s="782" cm="1">
        <f t="array" ref="J38">IF(J$21="Single-fuel",1,1-MIN(INDEX(CDRANGE_CLS3,$A38-($A$24-1),MATCH(J$20,TECHOPTS_Cls3,0))*OPDAYS_Cls3/$D$6,1))</f>
        <v>1</v>
      </c>
      <c r="K38" s="782" cm="1">
        <f t="array" ref="K38">IF(K$21="Single-fuel",1,1-MIN(INDEX(CDRANGE_CLS3,$A38-($A$24-1),MATCH(K$20,TECHOPTS_Cls3,0))*OPDAYS_Cls3/$D$6,1))</f>
        <v>1</v>
      </c>
      <c r="L38" s="782" cm="1">
        <f t="array" ref="L38">IF(L$21="Single-fuel",1,1-MIN(INDEX(CDRANGE_CLS3,$A38-($A$24-1),MATCH(L$20,TECHOPTS_Cls3,0))*OPDAYS_Cls3/$D$6,1))</f>
        <v>1</v>
      </c>
      <c r="M38" s="783" cm="1">
        <f t="array" ref="M38">IF(M$21="Single-fuel",1,1-MIN(INDEX(CDRANGE_CLS3,$A38-($A$24-1),MATCH(M$20,TECHOPTS_Cls3,0))*OPDAYS_Cls3/$D$6,1))</f>
        <v>1</v>
      </c>
      <c r="N38" s="736" cm="1">
        <f t="array" ref="N38">VLOOKUP($A38,IF($D$5="Central",FuelPriceCent,FuelPriceNCent),MATCH(N$21,FuelPriceCols,0),0)*(H38*$D$6)/(12*INDEX(FUEL1MPG_Cls3,$A38-($A$24-1),MATCH(N$20,TECHOPTS_Cls3,0)))+IFERROR(VLOOKUP($A38,IF($D$5="Central",FuelPriceCent,FuelPriceNCent),MATCH(INDEX($G$11:$G$16,MATCH(N$20,$B$11:$B$16,0)),FuelPriceCols,0),0),0)*((1-H38)*$D$6)/(12*INDEX(FUEL2MPG_Cls3,$A38-($A$24-1),MATCH(N$20,TECHOPTS_Cls3,0)))</f>
        <v>9008.511207173904</v>
      </c>
      <c r="O38" s="632" cm="1">
        <f t="array" ref="O38">VLOOKUP($A38,IF($D$5="Central",FuelPriceCent,FuelPriceNCent),MATCH(O$21,FuelPriceCols,0),0)*(I38*$D$6)/(12*INDEX(FUEL1MPG_Cls3,$A38-($A$24-1),MATCH(O$20,TECHOPTS_Cls3,0)))+IFERROR(VLOOKUP($A38,IF($D$5="Central",FuelPriceCent,FuelPriceNCent),MATCH(INDEX($G$11:$G$16,MATCH(O$20,$B$11:$B$16,0)),FuelPriceCols,0),0),0)*((1-I38)*$D$6)/(12*INDEX(FUEL2MPG_Cls3,$A38-($A$24-1),MATCH(O$20,TECHOPTS_Cls3,0)))</f>
        <v>8911.4231166726804</v>
      </c>
      <c r="P38" s="632" cm="1">
        <f t="array" ref="P38">VLOOKUP($A38,IF($D$5="Central",FuelPriceCent,FuelPriceNCent),MATCH(P$21,FuelPriceCols,0),0)*(J38*$D$6)/(12*INDEX(FUEL1MPG_Cls3,$A38-($A$24-1),MATCH(P$20,TECHOPTS_Cls3,0)))+IFERROR(VLOOKUP($A38,IF($D$5="Central",FuelPriceCent,FuelPriceNCent),MATCH(INDEX($G$11:$G$16,MATCH(P$20,$B$11:$B$16,0)),FuelPriceCols,0),0),0)*((1-J38)*$D$6)/(12*INDEX(FUEL2MPG_Cls3,$A38-($A$24-1),MATCH(P$20,TECHOPTS_Cls3,0)))</f>
        <v>6081.4330614582223</v>
      </c>
      <c r="Q38" s="632" cm="1">
        <f t="array" ref="Q38">VLOOKUP($A38,IF($D$5="Central",FuelPriceCent,FuelPriceNCent),MATCH(Q$21,FuelPriceCols,0),0)*(K38*$D$6)/(12*INDEX(FUEL1MPG_Cls3,$A38-($A$24-1),MATCH(Q$20,TECHOPTS_Cls3,0)))+IFERROR(VLOOKUP($A38,IF($D$5="Central",FuelPriceCent,FuelPriceNCent),MATCH(INDEX($G$11:$G$16,MATCH(Q$20,$B$11:$B$16,0)),FuelPriceCols,0),0),0)*((1-K38)*$D$6)/(12*INDEX(FUEL2MPG_Cls3,$A38-($A$24-1),MATCH(Q$20,TECHOPTS_Cls3,0)))</f>
        <v>7589.8670880324653</v>
      </c>
      <c r="R38" s="632" cm="1">
        <f t="array" ref="R38">VLOOKUP($A38,IF($D$5="Central",FuelPriceCent,FuelPriceNCent),MATCH(R$21,FuelPriceCols,0),0)*(L38*$D$6)/(12*INDEX(FUEL1MPG_Cls3,$A38-($A$24-1),MATCH(R$20,TECHOPTS_Cls3,0)))+IFERROR(VLOOKUP($A38,IF($D$5="Central",FuelPriceCent,FuelPriceNCent),MATCH(INDEX($G$11:$G$16,MATCH(R$20,$B$11:$B$16,0)),FuelPriceCols,0),0),0)*((1-L38)*$D$6)/(12*INDEX(FUEL2MPG_Cls3,$A38-($A$24-1),MATCH(R$20,TECHOPTS_Cls3,0)))</f>
        <v>11684.585719977693</v>
      </c>
      <c r="S38" s="745" cm="1">
        <f t="array" ref="S38">VLOOKUP($A38,IF($D$5="Central",FuelPriceCent,FuelPriceNCent),MATCH(S$21,FuelPriceCols,0),0)*(M38*$D$6)/(12*INDEX(FUEL1MPG_Cls3,$A38-($A$24-1),MATCH(S$20,TECHOPTS_Cls3,0)))+IFERROR(VLOOKUP($A38,IF($D$5="Central",FuelPriceCent,FuelPriceNCent),MATCH(INDEX($G$11:$G$16,MATCH(S$20,$B$11:$B$16,0)),FuelPriceCols,0),0),0)*((1-M38)*$D$6)/(12*INDEX(FUEL2MPG_Cls3,$A38-($A$24-1),MATCH(S$20,TECHOPTS_Cls3,0)))</f>
        <v>55799.608143750003</v>
      </c>
      <c r="T38" s="736">
        <f t="shared" si="30"/>
        <v>97.088090501223633</v>
      </c>
      <c r="U38" s="632">
        <f t="shared" si="31"/>
        <v>2927.0781457156818</v>
      </c>
      <c r="V38" s="632">
        <f t="shared" si="32"/>
        <v>1418.6441191414388</v>
      </c>
      <c r="W38" s="632">
        <f t="shared" si="33"/>
        <v>-2676.0745128037888</v>
      </c>
      <c r="X38" s="633">
        <f t="shared" si="34"/>
        <v>-46791.096936576098</v>
      </c>
      <c r="Y38" s="634" cm="1">
        <f t="array" aca="1" ref="Y38" ca="1">IF(AND(Y$22=TRUE,INDEX(CDRANGE_CLS3,MATCH($A38,$A$24:$A$67,0),MATCH(Y$20,$B$20:$G$20,0))&lt;$D$6/OPDAYS_Cls3),86,payback(C38,T38,disc_rate/12,85))</f>
        <v>86</v>
      </c>
      <c r="Z38" s="635" cm="1">
        <f t="array" aca="1" ref="Z38" ca="1">IF(AND(Z$22=TRUE,INDEX(CDRANGE_CLS3,MATCH($A38,$A$24:$A$67,0),MATCH(Z$20,$B$20:$G$20,0))&lt;$D$6/OPDAYS_Cls3),86,payback(D38,U38,disc_rate/12,85))</f>
        <v>86</v>
      </c>
      <c r="AA38" s="635" cm="1">
        <f t="array" ref="AA38">IF(AND(AA$22=TRUE,INDEX(CDRANGE_CLS3,MATCH($A38,$A$24:$A$67,0),MATCH(AA$20,$B$20:$G$20,0))&lt;$D$6/OPDAYS_Cls3),86,payback(E38,V38,disc_rate/12,85))</f>
        <v>86</v>
      </c>
      <c r="AB38" s="635" cm="1">
        <f t="array" aca="1" ref="AB38" ca="1">IF(AND(AB$22=TRUE,INDEX(CDRANGE_CLS3,MATCH($A38,$A$24:$A$67,0),MATCH(AB$20,$B$20:$G$20,0))&lt;$D$6/OPDAYS_Cls3),86,payback(F38,W38,disc_rate/12,85))</f>
        <v>86</v>
      </c>
      <c r="AC38" s="892" cm="1">
        <f t="array" aca="1" ref="AC38" ca="1">IF(AND(AC$22=TRUE,INDEX(CDRANGE_CLS3,MATCH($A38,$A$24:$A$67,0),MATCH(AC$20,$B$20:$G$20,0))&lt;$D$6/OPDAYS_Cls3),86,payback(G38,X38,disc_rate/12,85))</f>
        <v>86</v>
      </c>
      <c r="AD38" s="637">
        <f t="shared" si="35"/>
        <v>0</v>
      </c>
      <c r="AE38" s="638">
        <f t="shared" si="36"/>
        <v>0</v>
      </c>
      <c r="AF38" s="638">
        <f t="shared" si="37"/>
        <v>0</v>
      </c>
      <c r="AG38" s="638">
        <f t="shared" si="38"/>
        <v>0</v>
      </c>
      <c r="AH38" s="639">
        <f t="shared" si="39"/>
        <v>0</v>
      </c>
      <c r="AI38" s="640" cm="1">
        <f t="array" ref="AI38">IF($A38&lt;AI$23,0,AI$21+VLOOKUP($A38-AI$23,SCdata,2,1)*(AI$22-AI$21))*IF($D$5="Non-Central",INDEX(fuel_avail,$A38-$A$24+1,MATCH(O$21,Fuels,0)),1)</f>
        <v>0</v>
      </c>
      <c r="AJ38" s="641" cm="1">
        <f t="array" ref="AJ38">IF($A38&lt;AJ$23,0,AJ$21+VLOOKUP($A38-AJ$23,SCdata,2,1)*(AJ$22-AJ$21))*IF($D$5="Non-Central",INDEX(fuel_avail,$A38-$A$24+1,MATCH(P$21,Fuels,0)),1)</f>
        <v>0</v>
      </c>
      <c r="AK38" s="641" cm="1">
        <f t="array" ref="AK38">IF($A38&lt;AK$23,0,AK$21+VLOOKUP($A38-AK$23,SCdata,2,1)*(AK$22-AK$21))*IF($D$5="Non-Central",INDEX(fuel_avail,$A38-$A$24+1,MATCH(Q$21,Fuels,0)),1)</f>
        <v>0</v>
      </c>
      <c r="AL38" s="641" cm="1">
        <f t="array" ref="AL38">IF($A38&lt;AL$23,0,AL$21+VLOOKUP($A38-AL$23,SCdata,2,1)*(AL$22-AL$21))*IF($D$5="Non-Central",INDEX(fuel_avail,$A38-$A$24+1,MATCH(R$21,Fuels,0)),1)</f>
        <v>0</v>
      </c>
      <c r="AM38" s="642" cm="1">
        <f t="array" ref="AM38">IF($A38&lt;AM$23,0,AM$21+VLOOKUP($A38-AM$23,SCdata,2,1)*(AM$22-AM$21))*IF($D$5="Non-Central",INDEX(fuel_avail,$A38-$A$24+1,MATCH(S$21,Fuels,0)),1)</f>
        <v>0</v>
      </c>
      <c r="AN38" s="643">
        <f t="shared" si="52"/>
        <v>0</v>
      </c>
      <c r="AO38" s="641">
        <f t="shared" si="40"/>
        <v>0</v>
      </c>
      <c r="AP38" s="641">
        <f t="shared" si="40"/>
        <v>0</v>
      </c>
      <c r="AQ38" s="641">
        <f t="shared" si="40"/>
        <v>0</v>
      </c>
      <c r="AR38" s="642">
        <f t="shared" si="40"/>
        <v>0</v>
      </c>
      <c r="AS38" s="637">
        <f t="shared" ca="1" si="41"/>
        <v>0</v>
      </c>
      <c r="AT38" s="638">
        <f t="shared" ca="1" si="42"/>
        <v>0</v>
      </c>
      <c r="AU38" s="638">
        <f t="shared" si="43"/>
        <v>0</v>
      </c>
      <c r="AV38" s="638">
        <f t="shared" ca="1" si="44"/>
        <v>0</v>
      </c>
      <c r="AW38" s="639">
        <f t="shared" ca="1" si="45"/>
        <v>0</v>
      </c>
      <c r="AX38" s="637">
        <f t="shared" ca="1" si="46"/>
        <v>0</v>
      </c>
      <c r="AY38" s="638">
        <f t="shared" ca="1" si="46"/>
        <v>0</v>
      </c>
      <c r="AZ38" s="638">
        <f t="shared" si="46"/>
        <v>0</v>
      </c>
      <c r="BA38" s="638">
        <f t="shared" ca="1" si="46"/>
        <v>0</v>
      </c>
      <c r="BB38" s="639">
        <f t="shared" ca="1" si="46"/>
        <v>0</v>
      </c>
      <c r="BC38" s="637">
        <f t="shared" ca="1" si="53"/>
        <v>1</v>
      </c>
      <c r="BD38" s="638">
        <f t="shared" ca="1" si="47"/>
        <v>0</v>
      </c>
      <c r="BE38" s="638">
        <f t="shared" ca="1" si="48"/>
        <v>0</v>
      </c>
      <c r="BF38" s="638">
        <f t="shared" ca="1" si="49"/>
        <v>0</v>
      </c>
      <c r="BG38" s="638">
        <f t="shared" ca="1" si="50"/>
        <v>0</v>
      </c>
      <c r="BH38" s="639">
        <f t="shared" ca="1" si="51"/>
        <v>0</v>
      </c>
    </row>
    <row r="39" spans="1:62" x14ac:dyDescent="0.2">
      <c r="A39" s="317">
        <v>2022</v>
      </c>
      <c r="B39" s="820" cm="1">
        <f t="array" ref="B39">ROUND(INDEX(COST_Cls3,$A39-($A$24-1),MATCH(B$20,TECHOPTS_Cls3,0)),2)</f>
        <v>82009.100000000006</v>
      </c>
      <c r="C39" s="821" cm="1">
        <f t="array" ref="C39">ROUND(INDEX(COST_Cls3,$A39-($A$24-1),MATCH(C$20,TECHOPTS_Cls3,0)),2)</f>
        <v>1000000</v>
      </c>
      <c r="D39" s="821" cm="1">
        <f t="array" ref="D39">ROUND(INDEX(COST_Cls3,$A39-($A$24-1),MATCH(D$20,TECHOPTS_Cls3,0)),2)</f>
        <v>1000000</v>
      </c>
      <c r="E39" s="821" cm="1">
        <f t="array" ref="E39">ROUND(INDEX(COST_Cls3,$A39-($A$24-1),MATCH(E$20,TECHOPTS_Cls3,0)),2)</f>
        <v>1000000</v>
      </c>
      <c r="F39" s="821" cm="1">
        <f t="array" ref="F39">ROUND(INDEX(COST_Cls3,$A39-($A$24-1),MATCH(F$20,TECHOPTS_Cls3,0)),2)</f>
        <v>1000000</v>
      </c>
      <c r="G39" s="822" cm="1">
        <f t="array" ref="G39">ROUND(INDEX(COST_Cls3,$A39-($A$24-1),MATCH(G$20,TECHOPTS_Cls3,0)),2)</f>
        <v>1000000</v>
      </c>
      <c r="H39" s="781" cm="1">
        <f t="array" ref="H39">IF(H$21="Single-fuel",1,1-MIN(INDEX(CDRANGE_CLS3,$A39-($A$24-1),MATCH(H$20,TECHOPTS_Cls3,0))*OPDAYS_Cls3/$D$6,1))</f>
        <v>1</v>
      </c>
      <c r="I39" s="782" cm="1">
        <f t="array" ref="I39">IF(I$21="Single-fuel",1,1-MIN(INDEX(CDRANGE_CLS3,$A39-($A$24-1),MATCH(I$20,TECHOPTS_Cls3,0))*OPDAYS_Cls3/$D$6,1))</f>
        <v>1</v>
      </c>
      <c r="J39" s="782" cm="1">
        <f t="array" ref="J39">IF(J$21="Single-fuel",1,1-MIN(INDEX(CDRANGE_CLS3,$A39-($A$24-1),MATCH(J$20,TECHOPTS_Cls3,0))*OPDAYS_Cls3/$D$6,1))</f>
        <v>1</v>
      </c>
      <c r="K39" s="782" cm="1">
        <f t="array" ref="K39">IF(K$21="Single-fuel",1,1-MIN(INDEX(CDRANGE_CLS3,$A39-($A$24-1),MATCH(K$20,TECHOPTS_Cls3,0))*OPDAYS_Cls3/$D$6,1))</f>
        <v>1</v>
      </c>
      <c r="L39" s="782" cm="1">
        <f t="array" ref="L39">IF(L$21="Single-fuel",1,1-MIN(INDEX(CDRANGE_CLS3,$A39-($A$24-1),MATCH(L$20,TECHOPTS_Cls3,0))*OPDAYS_Cls3/$D$6,1))</f>
        <v>1</v>
      </c>
      <c r="M39" s="783" cm="1">
        <f t="array" ref="M39">IF(M$21="Single-fuel",1,1-MIN(INDEX(CDRANGE_CLS3,$A39-($A$24-1),MATCH(M$20,TECHOPTS_Cls3,0))*OPDAYS_Cls3/$D$6,1))</f>
        <v>1</v>
      </c>
      <c r="N39" s="733" cm="1">
        <f t="array" ref="N39">VLOOKUP($A39,IF($D$5="Central",FuelPriceCent,FuelPriceNCent),MATCH(N$21,FuelPriceCols,0),0)*(H39*$D$6)/(12*INDEX(FUEL1MPG_Cls3,$A39-($A$24-1),MATCH(N$20,TECHOPTS_Cls3,0)))+IFERROR(VLOOKUP($A39,IF($D$5="Central",FuelPriceCent,FuelPriceNCent),MATCH(INDEX($G$11:$G$16,MATCH(N$20,$B$11:$B$16,0)),FuelPriceCols,0),0),0)*((1-H39)*$D$6)/(12*INDEX(FUEL2MPG_Cls3,$A39-($A$24-1),MATCH(N$20,TECHOPTS_Cls3,0)))</f>
        <v>8969.4798571093506</v>
      </c>
      <c r="O39" s="276" cm="1">
        <f t="array" ref="O39">VLOOKUP($A39,IF($D$5="Central",FuelPriceCent,FuelPriceNCent),MATCH(O$21,FuelPriceCols,0),0)*(I39*$D$6)/(12*INDEX(FUEL1MPG_Cls3,$A39-($A$24-1),MATCH(O$20,TECHOPTS_Cls3,0)))+IFERROR(VLOOKUP($A39,IF($D$5="Central",FuelPriceCent,FuelPriceNCent),MATCH(INDEX($G$11:$G$16,MATCH(O$20,$B$11:$B$16,0)),FuelPriceCols,0),0),0)*((1-I39)*$D$6)/(12*INDEX(FUEL2MPG_Cls3,$A39-($A$24-1),MATCH(O$20,TECHOPTS_Cls3,0)))</f>
        <v>8837.3225683278033</v>
      </c>
      <c r="P39" s="276" cm="1">
        <f t="array" ref="P39">VLOOKUP($A39,IF($D$5="Central",FuelPriceCent,FuelPriceNCent),MATCH(P$21,FuelPriceCols,0),0)*(J39*$D$6)/(12*INDEX(FUEL1MPG_Cls3,$A39-($A$24-1),MATCH(P$20,TECHOPTS_Cls3,0)))+IFERROR(VLOOKUP($A39,IF($D$5="Central",FuelPriceCent,FuelPriceNCent),MATCH(INDEX($G$11:$G$16,MATCH(P$20,$B$11:$B$16,0)),FuelPriceCols,0),0),0)*((1-J39)*$D$6)/(12*INDEX(FUEL2MPG_Cls3,$A39-($A$24-1),MATCH(P$20,TECHOPTS_Cls3,0)))</f>
        <v>6038.0011455155663</v>
      </c>
      <c r="Q39" s="276" cm="1">
        <f t="array" ref="Q39">VLOOKUP($A39,IF($D$5="Central",FuelPriceCent,FuelPriceNCent),MATCH(Q$21,FuelPriceCols,0),0)*(K39*$D$6)/(12*INDEX(FUEL1MPG_Cls3,$A39-($A$24-1),MATCH(Q$20,TECHOPTS_Cls3,0)))+IFERROR(VLOOKUP($A39,IF($D$5="Central",FuelPriceCent,FuelPriceNCent),MATCH(INDEX($G$11:$G$16,MATCH(Q$20,$B$11:$B$16,0)),FuelPriceCols,0),0),0)*((1-K39)*$D$6)/(12*INDEX(FUEL2MPG_Cls3,$A39-($A$24-1),MATCH(Q$20,TECHOPTS_Cls3,0)))</f>
        <v>7551.6711768446958</v>
      </c>
      <c r="R39" s="276" cm="1">
        <f t="array" ref="R39">VLOOKUP($A39,IF($D$5="Central",FuelPriceCent,FuelPriceNCent),MATCH(R$21,FuelPriceCols,0),0)*(L39*$D$6)/(12*INDEX(FUEL1MPG_Cls3,$A39-($A$24-1),MATCH(R$20,TECHOPTS_Cls3,0)))+IFERROR(VLOOKUP($A39,IF($D$5="Central",FuelPriceCent,FuelPriceNCent),MATCH(INDEX($G$11:$G$16,MATCH(R$20,$B$11:$B$16,0)),FuelPriceCols,0),0),0)*((1-L39)*$D$6)/(12*INDEX(FUEL2MPG_Cls3,$A39-($A$24-1),MATCH(R$20,TECHOPTS_Cls3,0)))</f>
        <v>10819.780599710286</v>
      </c>
      <c r="S39" s="278" cm="1">
        <f t="array" ref="S39">VLOOKUP($A39,IF($D$5="Central",FuelPriceCent,FuelPriceNCent),MATCH(S$21,FuelPriceCols,0),0)*(M39*$D$6)/(12*INDEX(FUEL1MPG_Cls3,$A39-($A$24-1),MATCH(S$20,TECHOPTS_Cls3,0)))+IFERROR(VLOOKUP($A39,IF($D$5="Central",FuelPriceCent,FuelPriceNCent),MATCH(INDEX($G$11:$G$16,MATCH(S$20,$B$11:$B$16,0)),FuelPriceCols,0),0),0)*((1-M39)*$D$6)/(12*INDEX(FUEL2MPG_Cls3,$A39-($A$24-1),MATCH(S$20,TECHOPTS_Cls3,0)))</f>
        <v>56673.920064375001</v>
      </c>
      <c r="T39" s="734">
        <f t="shared" si="30"/>
        <v>132.15728878154732</v>
      </c>
      <c r="U39" s="290">
        <f t="shared" si="31"/>
        <v>2931.4787115937843</v>
      </c>
      <c r="V39" s="290">
        <f t="shared" si="32"/>
        <v>1417.8086802646549</v>
      </c>
      <c r="W39" s="290">
        <f t="shared" si="33"/>
        <v>-1850.3007426009353</v>
      </c>
      <c r="X39" s="291">
        <f t="shared" si="34"/>
        <v>-47704.440207265652</v>
      </c>
      <c r="Y39" s="279" cm="1">
        <f t="array" aca="1" ref="Y39" ca="1">IF(AND(Y$22=TRUE,INDEX(CDRANGE_CLS3,MATCH($A39,$A$24:$A$67,0),MATCH(Y$20,$B$20:$G$20,0))&lt;$D$6/OPDAYS_Cls3),86,payback(C39,T39,disc_rate/12,85))</f>
        <v>86</v>
      </c>
      <c r="Z39" s="280" cm="1">
        <f t="array" aca="1" ref="Z39" ca="1">IF(AND(Z$22=TRUE,INDEX(CDRANGE_CLS3,MATCH($A39,$A$24:$A$67,0),MATCH(Z$20,$B$20:$G$20,0))&lt;$D$6/OPDAYS_Cls3),86,payback(D39,U39,disc_rate/12,85))</f>
        <v>86</v>
      </c>
      <c r="AA39" s="280" cm="1">
        <f t="array" ref="AA39">IF(AND(AA$22=TRUE,INDEX(CDRANGE_CLS3,MATCH($A39,$A$24:$A$67,0),MATCH(AA$20,$B$20:$G$20,0))&lt;$D$6/OPDAYS_Cls3),86,payback(E39,V39,disc_rate/12,85))</f>
        <v>86</v>
      </c>
      <c r="AB39" s="280" cm="1">
        <f t="array" aca="1" ref="AB39" ca="1">IF(AND(AB$22=TRUE,INDEX(CDRANGE_CLS3,MATCH($A39,$A$24:$A$67,0),MATCH(AB$20,$B$20:$G$20,0))&lt;$D$6/OPDAYS_Cls3),86,payback(F39,W39,disc_rate/12,85))</f>
        <v>86</v>
      </c>
      <c r="AC39" s="281" cm="1">
        <f t="array" aca="1" ref="AC39" ca="1">IF(AND(AC$22=TRUE,INDEX(CDRANGE_CLS3,MATCH($A39,$A$24:$A$67,0),MATCH(AC$20,$B$20:$G$20,0))&lt;$D$6/OPDAYS_Cls3),86,payback(G39,X39,disc_rate/12,85))</f>
        <v>86</v>
      </c>
      <c r="AD39" s="296">
        <f t="shared" si="35"/>
        <v>0</v>
      </c>
      <c r="AE39" s="297">
        <f t="shared" si="36"/>
        <v>0</v>
      </c>
      <c r="AF39" s="297">
        <f t="shared" si="37"/>
        <v>0</v>
      </c>
      <c r="AG39" s="297">
        <f t="shared" si="38"/>
        <v>0</v>
      </c>
      <c r="AH39" s="298">
        <f t="shared" si="39"/>
        <v>0</v>
      </c>
      <c r="AI39" s="595" cm="1">
        <f t="array" ref="AI39">IF($A39&lt;AI$23,0,AI$21+VLOOKUP($A39-AI$23,SCdata,2,1)*(AI$22-AI$21))*IF($D$5="Non-Central",INDEX(fuel_avail,$A39-$A$24+1,MATCH(O$21,Fuels,0)),1)</f>
        <v>0</v>
      </c>
      <c r="AJ39" s="300" cm="1">
        <f t="array" ref="AJ39">IF($A39&lt;AJ$23,0,AJ$21+VLOOKUP($A39-AJ$23,SCdata,2,1)*(AJ$22-AJ$21))*IF($D$5="Non-Central",INDEX(fuel_avail,$A39-$A$24+1,MATCH(P$21,Fuels,0)),1)</f>
        <v>0</v>
      </c>
      <c r="AK39" s="300" cm="1">
        <f t="array" ref="AK39">IF($A39&lt;AK$23,0,AK$21+VLOOKUP($A39-AK$23,SCdata,2,1)*(AK$22-AK$21))*IF($D$5="Non-Central",INDEX(fuel_avail,$A39-$A$24+1,MATCH(Q$21,Fuels,0)),1)</f>
        <v>0</v>
      </c>
      <c r="AL39" s="300" cm="1">
        <f t="array" ref="AL39">IF($A39&lt;AL$23,0,AL$21+VLOOKUP($A39-AL$23,SCdata,2,1)*(AL$22-AL$21))*IF($D$5="Non-Central",INDEX(fuel_avail,$A39-$A$24+1,MATCH(R$21,Fuels,0)),1)</f>
        <v>0</v>
      </c>
      <c r="AM39" s="598" cm="1">
        <f t="array" ref="AM39">IF($A39&lt;AM$23,0,AM$21+VLOOKUP($A39-AM$23,SCdata,2,1)*(AM$22-AM$21))*IF($D$5="Non-Central",INDEX(fuel_avail,$A39-$A$24+1,MATCH(S$21,Fuels,0)),1)</f>
        <v>0</v>
      </c>
      <c r="AN39" s="299">
        <f t="shared" si="52"/>
        <v>0</v>
      </c>
      <c r="AO39" s="300">
        <f t="shared" si="40"/>
        <v>0</v>
      </c>
      <c r="AP39" s="300">
        <f t="shared" si="40"/>
        <v>0</v>
      </c>
      <c r="AQ39" s="300">
        <f t="shared" si="40"/>
        <v>0</v>
      </c>
      <c r="AR39" s="598">
        <f t="shared" si="40"/>
        <v>0</v>
      </c>
      <c r="AS39" s="296">
        <f t="shared" ca="1" si="41"/>
        <v>0</v>
      </c>
      <c r="AT39" s="297">
        <f t="shared" ca="1" si="42"/>
        <v>0</v>
      </c>
      <c r="AU39" s="297">
        <f t="shared" si="43"/>
        <v>0</v>
      </c>
      <c r="AV39" s="297">
        <f t="shared" ca="1" si="44"/>
        <v>0</v>
      </c>
      <c r="AW39" s="298">
        <f t="shared" ca="1" si="45"/>
        <v>0</v>
      </c>
      <c r="AX39" s="296">
        <f t="shared" ca="1" si="46"/>
        <v>0</v>
      </c>
      <c r="AY39" s="297">
        <f t="shared" ca="1" si="46"/>
        <v>0</v>
      </c>
      <c r="AZ39" s="297">
        <f t="shared" si="46"/>
        <v>0</v>
      </c>
      <c r="BA39" s="297">
        <f t="shared" ca="1" si="46"/>
        <v>0</v>
      </c>
      <c r="BB39" s="298">
        <f t="shared" ca="1" si="46"/>
        <v>0</v>
      </c>
      <c r="BC39" s="296">
        <f t="shared" ca="1" si="53"/>
        <v>1</v>
      </c>
      <c r="BD39" s="297">
        <f t="shared" ca="1" si="47"/>
        <v>0</v>
      </c>
      <c r="BE39" s="297">
        <f t="shared" ca="1" si="48"/>
        <v>0</v>
      </c>
      <c r="BF39" s="297">
        <f t="shared" ca="1" si="49"/>
        <v>0</v>
      </c>
      <c r="BG39" s="297">
        <f t="shared" ca="1" si="50"/>
        <v>0</v>
      </c>
      <c r="BH39" s="298">
        <f t="shared" ca="1" si="51"/>
        <v>0</v>
      </c>
    </row>
    <row r="40" spans="1:62" x14ac:dyDescent="0.2">
      <c r="A40" s="317">
        <v>2023</v>
      </c>
      <c r="B40" s="820" cm="1">
        <f t="array" ref="B40">ROUND(INDEX(COST_Cls3,$A40-($A$24-1),MATCH(B$20,TECHOPTS_Cls3,0)),2)</f>
        <v>82148.91</v>
      </c>
      <c r="C40" s="821" cm="1">
        <f t="array" ref="C40">ROUND(INDEX(COST_Cls3,$A40-($A$24-1),MATCH(C$20,TECHOPTS_Cls3,0)),2)</f>
        <v>1000000</v>
      </c>
      <c r="D40" s="821" cm="1">
        <f t="array" ref="D40">ROUND(INDEX(COST_Cls3,$A40-($A$24-1),MATCH(D$20,TECHOPTS_Cls3,0)),2)</f>
        <v>1000000</v>
      </c>
      <c r="E40" s="821" cm="1">
        <f t="array" ref="E40">ROUND(INDEX(COST_Cls3,$A40-($A$24-1),MATCH(E$20,TECHOPTS_Cls3,0)),2)</f>
        <v>1000000</v>
      </c>
      <c r="F40" s="821" cm="1">
        <f t="array" ref="F40">ROUND(INDEX(COST_Cls3,$A40-($A$24-1),MATCH(F$20,TECHOPTS_Cls3,0)),2)</f>
        <v>1000000</v>
      </c>
      <c r="G40" s="822" cm="1">
        <f t="array" ref="G40">ROUND(INDEX(COST_Cls3,$A40-($A$24-1),MATCH(G$20,TECHOPTS_Cls3,0)),2)</f>
        <v>1000000</v>
      </c>
      <c r="H40" s="781" cm="1">
        <f t="array" ref="H40">IF(H$21="Single-fuel",1,1-MIN(INDEX(CDRANGE_CLS3,$A40-($A$24-1),MATCH(H$20,TECHOPTS_Cls3,0))*OPDAYS_Cls3/$D$6,1))</f>
        <v>1</v>
      </c>
      <c r="I40" s="782" cm="1">
        <f t="array" ref="I40">IF(I$21="Single-fuel",1,1-MIN(INDEX(CDRANGE_CLS3,$A40-($A$24-1),MATCH(I$20,TECHOPTS_Cls3,0))*OPDAYS_Cls3/$D$6,1))</f>
        <v>1</v>
      </c>
      <c r="J40" s="782" cm="1">
        <f t="array" ref="J40">IF(J$21="Single-fuel",1,1-MIN(INDEX(CDRANGE_CLS3,$A40-($A$24-1),MATCH(J$20,TECHOPTS_Cls3,0))*OPDAYS_Cls3/$D$6,1))</f>
        <v>1</v>
      </c>
      <c r="K40" s="782" cm="1">
        <f t="array" ref="K40">IF(K$21="Single-fuel",1,1-MIN(INDEX(CDRANGE_CLS3,$A40-($A$24-1),MATCH(K$20,TECHOPTS_Cls3,0))*OPDAYS_Cls3/$D$6,1))</f>
        <v>1</v>
      </c>
      <c r="L40" s="782" cm="1">
        <f t="array" ref="L40">IF(L$21="Single-fuel",1,1-MIN(INDEX(CDRANGE_CLS3,$A40-($A$24-1),MATCH(L$20,TECHOPTS_Cls3,0))*OPDAYS_Cls3/$D$6,1))</f>
        <v>1</v>
      </c>
      <c r="M40" s="783" cm="1">
        <f t="array" ref="M40">IF(M$21="Single-fuel",1,1-MIN(INDEX(CDRANGE_CLS3,$A40-($A$24-1),MATCH(M$20,TECHOPTS_Cls3,0))*OPDAYS_Cls3/$D$6,1))</f>
        <v>1</v>
      </c>
      <c r="N40" s="733" cm="1">
        <f t="array" ref="N40">VLOOKUP($A40,IF($D$5="Central",FuelPriceCent,FuelPriceNCent),MATCH(N$21,FuelPriceCols,0),0)*(H40*$D$6)/(12*INDEX(FUEL1MPG_Cls3,$A40-($A$24-1),MATCH(N$20,TECHOPTS_Cls3,0)))+IFERROR(VLOOKUP($A40,IF($D$5="Central",FuelPriceCent,FuelPriceNCent),MATCH(INDEX($G$11:$G$16,MATCH(N$20,$B$11:$B$16,0)),FuelPriceCols,0),0),0)*((1-H40)*$D$6)/(12*INDEX(FUEL2MPG_Cls3,$A40-($A$24-1),MATCH(N$20,TECHOPTS_Cls3,0)))</f>
        <v>8802.8422673312871</v>
      </c>
      <c r="O40" s="276" cm="1">
        <f t="array" ref="O40">VLOOKUP($A40,IF($D$5="Central",FuelPriceCent,FuelPriceNCent),MATCH(O$21,FuelPriceCols,0),0)*(I40*$D$6)/(12*INDEX(FUEL1MPG_Cls3,$A40-($A$24-1),MATCH(O$20,TECHOPTS_Cls3,0)))+IFERROR(VLOOKUP($A40,IF($D$5="Central",FuelPriceCent,FuelPriceNCent),MATCH(INDEX($G$11:$G$16,MATCH(O$20,$B$11:$B$16,0)),FuelPriceCols,0),0),0)*((1-I40)*$D$6)/(12*INDEX(FUEL2MPG_Cls3,$A40-($A$24-1),MATCH(O$20,TECHOPTS_Cls3,0)))</f>
        <v>8688.643941807959</v>
      </c>
      <c r="P40" s="276" cm="1">
        <f t="array" ref="P40">VLOOKUP($A40,IF($D$5="Central",FuelPriceCent,FuelPriceNCent),MATCH(P$21,FuelPriceCols,0),0)*(J40*$D$6)/(12*INDEX(FUEL1MPG_Cls3,$A40-($A$24-1),MATCH(P$20,TECHOPTS_Cls3,0)))+IFERROR(VLOOKUP($A40,IF($D$5="Central",FuelPriceCent,FuelPriceNCent),MATCH(INDEX($G$11:$G$16,MATCH(P$20,$B$11:$B$16,0)),FuelPriceCols,0),0),0)*((1-J40)*$D$6)/(12*INDEX(FUEL2MPG_Cls3,$A40-($A$24-1),MATCH(P$20,TECHOPTS_Cls3,0)))</f>
        <v>5942.9425692604518</v>
      </c>
      <c r="Q40" s="276" cm="1">
        <f t="array" ref="Q40">VLOOKUP($A40,IF($D$5="Central",FuelPriceCent,FuelPriceNCent),MATCH(Q$21,FuelPriceCols,0),0)*(K40*$D$6)/(12*INDEX(FUEL1MPG_Cls3,$A40-($A$24-1),MATCH(Q$20,TECHOPTS_Cls3,0)))+IFERROR(VLOOKUP($A40,IF($D$5="Central",FuelPriceCent,FuelPriceNCent),MATCH(INDEX($G$11:$G$16,MATCH(Q$20,$B$11:$B$16,0)),FuelPriceCols,0),0),0)*((1-K40)*$D$6)/(12*INDEX(FUEL2MPG_Cls3,$A40-($A$24-1),MATCH(Q$20,TECHOPTS_Cls3,0)))</f>
        <v>7550.0663823952946</v>
      </c>
      <c r="R40" s="276" cm="1">
        <f t="array" ref="R40">VLOOKUP($A40,IF($D$5="Central",FuelPriceCent,FuelPriceNCent),MATCH(R$21,FuelPriceCols,0),0)*(L40*$D$6)/(12*INDEX(FUEL1MPG_Cls3,$A40-($A$24-1),MATCH(R$20,TECHOPTS_Cls3,0)))+IFERROR(VLOOKUP($A40,IF($D$5="Central",FuelPriceCent,FuelPriceNCent),MATCH(INDEX($G$11:$G$16,MATCH(R$20,$B$11:$B$16,0)),FuelPriceCols,0),0),0)*((1-L40)*$D$6)/(12*INDEX(FUEL2MPG_Cls3,$A40-($A$24-1),MATCH(R$20,TECHOPTS_Cls3,0)))</f>
        <v>9993.494042572167</v>
      </c>
      <c r="S40" s="278" cm="1">
        <f t="array" ref="S40">VLOOKUP($A40,IF($D$5="Central",FuelPriceCent,FuelPriceNCent),MATCH(S$21,FuelPriceCols,0),0)*(M40*$D$6)/(12*INDEX(FUEL1MPG_Cls3,$A40-($A$24-1),MATCH(S$20,TECHOPTS_Cls3,0)))+IFERROR(VLOOKUP($A40,IF($D$5="Central",FuelPriceCent,FuelPriceNCent),MATCH(INDEX($G$11:$G$16,MATCH(S$20,$B$11:$B$16,0)),FuelPriceCols,0),0),0)*((1-M40)*$D$6)/(12*INDEX(FUEL2MPG_Cls3,$A40-($A$24-1),MATCH(S$20,TECHOPTS_Cls3,0)))</f>
        <v>56999.370078750006</v>
      </c>
      <c r="T40" s="734">
        <f t="shared" si="30"/>
        <v>114.19832552332809</v>
      </c>
      <c r="U40" s="290">
        <f t="shared" si="31"/>
        <v>2859.8996980708353</v>
      </c>
      <c r="V40" s="290">
        <f t="shared" si="32"/>
        <v>1252.7758849359925</v>
      </c>
      <c r="W40" s="290">
        <f t="shared" si="33"/>
        <v>-1190.6517752408799</v>
      </c>
      <c r="X40" s="291">
        <f t="shared" si="34"/>
        <v>-48196.527811418717</v>
      </c>
      <c r="Y40" s="279" cm="1">
        <f t="array" aca="1" ref="Y40" ca="1">IF(AND(Y$22=TRUE,INDEX(CDRANGE_CLS3,MATCH($A40,$A$24:$A$67,0),MATCH(Y$20,$B$20:$G$20,0))&lt;$D$6/OPDAYS_Cls3),86,payback(C40,T40,disc_rate/12,85))</f>
        <v>86</v>
      </c>
      <c r="Z40" s="280" cm="1">
        <f t="array" aca="1" ref="Z40" ca="1">IF(AND(Z$22=TRUE,INDEX(CDRANGE_CLS3,MATCH($A40,$A$24:$A$67,0),MATCH(Z$20,$B$20:$G$20,0))&lt;$D$6/OPDAYS_Cls3),86,payback(D40,U40,disc_rate/12,85))</f>
        <v>86</v>
      </c>
      <c r="AA40" s="280" cm="1">
        <f t="array" ref="AA40">IF(AND(AA$22=TRUE,INDEX(CDRANGE_CLS3,MATCH($A40,$A$24:$A$67,0),MATCH(AA$20,$B$20:$G$20,0))&lt;$D$6/OPDAYS_Cls3),86,payback(E40,V40,disc_rate/12,85))</f>
        <v>86</v>
      </c>
      <c r="AB40" s="280" cm="1">
        <f t="array" aca="1" ref="AB40" ca="1">IF(AND(AB$22=TRUE,INDEX(CDRANGE_CLS3,MATCH($A40,$A$24:$A$67,0),MATCH(AB$20,$B$20:$G$20,0))&lt;$D$6/OPDAYS_Cls3),86,payback(F40,W40,disc_rate/12,85))</f>
        <v>86</v>
      </c>
      <c r="AC40" s="281" cm="1">
        <f t="array" aca="1" ref="AC40" ca="1">IF(AND(AC$22=TRUE,INDEX(CDRANGE_CLS3,MATCH($A40,$A$24:$A$67,0),MATCH(AC$20,$B$20:$G$20,0))&lt;$D$6/OPDAYS_Cls3),86,payback(G40,X40,disc_rate/12,85))</f>
        <v>86</v>
      </c>
      <c r="AD40" s="296">
        <f t="shared" si="35"/>
        <v>0</v>
      </c>
      <c r="AE40" s="297">
        <f t="shared" si="36"/>
        <v>0</v>
      </c>
      <c r="AF40" s="297">
        <f t="shared" si="37"/>
        <v>0</v>
      </c>
      <c r="AG40" s="297">
        <f t="shared" si="38"/>
        <v>0</v>
      </c>
      <c r="AH40" s="298">
        <f t="shared" si="39"/>
        <v>0</v>
      </c>
      <c r="AI40" s="595" cm="1">
        <f t="array" ref="AI40">IF($A40&lt;AI$23,0,AI$21+VLOOKUP($A40-AI$23,SCdata,2,1)*(AI$22-AI$21))*IF($D$5="Non-Central",INDEX(fuel_avail,$A40-$A$24+1,MATCH(O$21,Fuels,0)),1)</f>
        <v>0</v>
      </c>
      <c r="AJ40" s="300" cm="1">
        <f t="array" ref="AJ40">IF($A40&lt;AJ$23,0,AJ$21+VLOOKUP($A40-AJ$23,SCdata,2,1)*(AJ$22-AJ$21))*IF($D$5="Non-Central",INDEX(fuel_avail,$A40-$A$24+1,MATCH(P$21,Fuels,0)),1)</f>
        <v>0</v>
      </c>
      <c r="AK40" s="300" cm="1">
        <f t="array" ref="AK40">IF($A40&lt;AK$23,0,AK$21+VLOOKUP($A40-AK$23,SCdata,2,1)*(AK$22-AK$21))*IF($D$5="Non-Central",INDEX(fuel_avail,$A40-$A$24+1,MATCH(Q$21,Fuels,0)),1)</f>
        <v>0</v>
      </c>
      <c r="AL40" s="300" cm="1">
        <f t="array" ref="AL40">IF($A40&lt;AL$23,0,AL$21+VLOOKUP($A40-AL$23,SCdata,2,1)*(AL$22-AL$21))*IF($D$5="Non-Central",INDEX(fuel_avail,$A40-$A$24+1,MATCH(R$21,Fuels,0)),1)</f>
        <v>0</v>
      </c>
      <c r="AM40" s="598" cm="1">
        <f t="array" ref="AM40">IF($A40&lt;AM$23,0,AM$21+VLOOKUP($A40-AM$23,SCdata,2,1)*(AM$22-AM$21))*IF($D$5="Non-Central",INDEX(fuel_avail,$A40-$A$24+1,MATCH(S$21,Fuels,0)),1)</f>
        <v>0</v>
      </c>
      <c r="AN40" s="299">
        <f t="shared" si="52"/>
        <v>0</v>
      </c>
      <c r="AO40" s="300">
        <f t="shared" si="52"/>
        <v>0</v>
      </c>
      <c r="AP40" s="300">
        <f t="shared" si="52"/>
        <v>0</v>
      </c>
      <c r="AQ40" s="300">
        <f t="shared" si="52"/>
        <v>0</v>
      </c>
      <c r="AR40" s="598">
        <f t="shared" si="52"/>
        <v>0</v>
      </c>
      <c r="AS40" s="296">
        <f t="shared" ca="1" si="41"/>
        <v>0</v>
      </c>
      <c r="AT40" s="297">
        <f t="shared" ca="1" si="42"/>
        <v>0</v>
      </c>
      <c r="AU40" s="297">
        <f t="shared" si="43"/>
        <v>0</v>
      </c>
      <c r="AV40" s="297">
        <f t="shared" ca="1" si="44"/>
        <v>0</v>
      </c>
      <c r="AW40" s="298">
        <f t="shared" ca="1" si="45"/>
        <v>0</v>
      </c>
      <c r="AX40" s="296">
        <f t="shared" ca="1" si="46"/>
        <v>0</v>
      </c>
      <c r="AY40" s="297">
        <f t="shared" ca="1" si="46"/>
        <v>0</v>
      </c>
      <c r="AZ40" s="297">
        <f t="shared" si="46"/>
        <v>0</v>
      </c>
      <c r="BA40" s="297">
        <f t="shared" ca="1" si="46"/>
        <v>0</v>
      </c>
      <c r="BB40" s="298">
        <f t="shared" ca="1" si="46"/>
        <v>0</v>
      </c>
      <c r="BC40" s="296">
        <f t="shared" ca="1" si="53"/>
        <v>1</v>
      </c>
      <c r="BD40" s="297">
        <f t="shared" ca="1" si="47"/>
        <v>0</v>
      </c>
      <c r="BE40" s="297">
        <f t="shared" ca="1" si="48"/>
        <v>0</v>
      </c>
      <c r="BF40" s="297">
        <f t="shared" ca="1" si="49"/>
        <v>0</v>
      </c>
      <c r="BG40" s="297">
        <f t="shared" ca="1" si="50"/>
        <v>0</v>
      </c>
      <c r="BH40" s="298">
        <f t="shared" ca="1" si="51"/>
        <v>0</v>
      </c>
    </row>
    <row r="41" spans="1:62" x14ac:dyDescent="0.2">
      <c r="A41" s="317">
        <v>2024</v>
      </c>
      <c r="B41" s="820" cm="1">
        <f t="array" ref="B41">ROUND(INDEX(COST_Cls3,$A41-($A$24-1),MATCH(B$20,TECHOPTS_Cls3,0)),2)</f>
        <v>82304.399999999994</v>
      </c>
      <c r="C41" s="821" cm="1">
        <f t="array" ref="C41">ROUND(INDEX(COST_Cls3,$A41-($A$24-1),MATCH(C$20,TECHOPTS_Cls3,0)),2)</f>
        <v>1000000</v>
      </c>
      <c r="D41" s="821" cm="1">
        <f t="array" ref="D41">ROUND(INDEX(COST_Cls3,$A41-($A$24-1),MATCH(D$20,TECHOPTS_Cls3,0)),2)</f>
        <v>1000000</v>
      </c>
      <c r="E41" s="821" cm="1">
        <f t="array" ref="E41">ROUND(INDEX(COST_Cls3,$A41-($A$24-1),MATCH(E$20,TECHOPTS_Cls3,0)),2)</f>
        <v>1000000</v>
      </c>
      <c r="F41" s="821" cm="1">
        <f t="array" ref="F41">ROUND(INDEX(COST_Cls3,$A41-($A$24-1),MATCH(F$20,TECHOPTS_Cls3,0)),2)</f>
        <v>1000000</v>
      </c>
      <c r="G41" s="822" cm="1">
        <f t="array" ref="G41">ROUND(INDEX(COST_Cls3,$A41-($A$24-1),MATCH(G$20,TECHOPTS_Cls3,0)),2)</f>
        <v>1000000</v>
      </c>
      <c r="H41" s="781" cm="1">
        <f t="array" ref="H41">IF(H$21="Single-fuel",1,1-MIN(INDEX(CDRANGE_CLS3,$A41-($A$24-1),MATCH(H$20,TECHOPTS_Cls3,0))*OPDAYS_Cls3/$D$6,1))</f>
        <v>1</v>
      </c>
      <c r="I41" s="782" cm="1">
        <f t="array" ref="I41">IF(I$21="Single-fuel",1,1-MIN(INDEX(CDRANGE_CLS3,$A41-($A$24-1),MATCH(I$20,TECHOPTS_Cls3,0))*OPDAYS_Cls3/$D$6,1))</f>
        <v>1</v>
      </c>
      <c r="J41" s="782" cm="1">
        <f t="array" ref="J41">IF(J$21="Single-fuel",1,1-MIN(INDEX(CDRANGE_CLS3,$A41-($A$24-1),MATCH(J$20,TECHOPTS_Cls3,0))*OPDAYS_Cls3/$D$6,1))</f>
        <v>1</v>
      </c>
      <c r="K41" s="782" cm="1">
        <f t="array" ref="K41">IF(K$21="Single-fuel",1,1-MIN(INDEX(CDRANGE_CLS3,$A41-($A$24-1),MATCH(K$20,TECHOPTS_Cls3,0))*OPDAYS_Cls3/$D$6,1))</f>
        <v>1</v>
      </c>
      <c r="L41" s="782" cm="1">
        <f t="array" ref="L41">IF(L$21="Single-fuel",1,1-MIN(INDEX(CDRANGE_CLS3,$A41-($A$24-1),MATCH(L$20,TECHOPTS_Cls3,0))*OPDAYS_Cls3/$D$6,1))</f>
        <v>1</v>
      </c>
      <c r="M41" s="783" cm="1">
        <f t="array" ref="M41">IF(M$21="Single-fuel",1,1-MIN(INDEX(CDRANGE_CLS3,$A41-($A$24-1),MATCH(M$20,TECHOPTS_Cls3,0))*OPDAYS_Cls3/$D$6,1))</f>
        <v>1</v>
      </c>
      <c r="N41" s="733" cm="1">
        <f t="array" ref="N41">VLOOKUP($A41,IF($D$5="Central",FuelPriceCent,FuelPriceNCent),MATCH(N$21,FuelPriceCols,0),0)*(H41*$D$6)/(12*INDEX(FUEL1MPG_Cls3,$A41-($A$24-1),MATCH(N$20,TECHOPTS_Cls3,0)))+IFERROR(VLOOKUP($A41,IF($D$5="Central",FuelPriceCent,FuelPriceNCent),MATCH(INDEX($G$11:$G$16,MATCH(N$20,$B$11:$B$16,0)),FuelPriceCols,0),0),0)*((1-H41)*$D$6)/(12*INDEX(FUEL2MPG_Cls3,$A41-($A$24-1),MATCH(N$20,TECHOPTS_Cls3,0)))</f>
        <v>8726.8824921419855</v>
      </c>
      <c r="O41" s="276" cm="1">
        <f t="array" ref="O41">VLOOKUP($A41,IF($D$5="Central",FuelPriceCent,FuelPriceNCent),MATCH(O$21,FuelPriceCols,0),0)*(I41*$D$6)/(12*INDEX(FUEL1MPG_Cls3,$A41-($A$24-1),MATCH(O$20,TECHOPTS_Cls3,0)))+IFERROR(VLOOKUP($A41,IF($D$5="Central",FuelPriceCent,FuelPriceNCent),MATCH(INDEX($G$11:$G$16,MATCH(O$20,$B$11:$B$16,0)),FuelPriceCols,0),0),0)*((1-I41)*$D$6)/(12*INDEX(FUEL2MPG_Cls3,$A41-($A$24-1),MATCH(O$20,TECHOPTS_Cls3,0)))</f>
        <v>8560.3234815781161</v>
      </c>
      <c r="P41" s="276" cm="1">
        <f t="array" ref="P41">VLOOKUP($A41,IF($D$5="Central",FuelPriceCent,FuelPriceNCent),MATCH(P$21,FuelPriceCols,0),0)*(J41*$D$6)/(12*INDEX(FUEL1MPG_Cls3,$A41-($A$24-1),MATCH(P$20,TECHOPTS_Cls3,0)))+IFERROR(VLOOKUP($A41,IF($D$5="Central",FuelPriceCent,FuelPriceNCent),MATCH(INDEX($G$11:$G$16,MATCH(P$20,$B$11:$B$16,0)),FuelPriceCols,0),0),0)*((1-J41)*$D$6)/(12*INDEX(FUEL2MPG_Cls3,$A41-($A$24-1),MATCH(P$20,TECHOPTS_Cls3,0)))</f>
        <v>5864.2202986605707</v>
      </c>
      <c r="Q41" s="276" cm="1">
        <f t="array" ref="Q41">VLOOKUP($A41,IF($D$5="Central",FuelPriceCent,FuelPriceNCent),MATCH(Q$21,FuelPriceCols,0),0)*(K41*$D$6)/(12*INDEX(FUEL1MPG_Cls3,$A41-($A$24-1),MATCH(Q$20,TECHOPTS_Cls3,0)))+IFERROR(VLOOKUP($A41,IF($D$5="Central",FuelPriceCent,FuelPriceNCent),MATCH(INDEX($G$11:$G$16,MATCH(Q$20,$B$11:$B$16,0)),FuelPriceCols,0),0),0)*((1-K41)*$D$6)/(12*INDEX(FUEL2MPG_Cls3,$A41-($A$24-1),MATCH(Q$20,TECHOPTS_Cls3,0)))</f>
        <v>7482.5868901003441</v>
      </c>
      <c r="R41" s="276" cm="1">
        <f t="array" ref="R41">VLOOKUP($A41,IF($D$5="Central",FuelPriceCent,FuelPriceNCent),MATCH(R$21,FuelPriceCols,0),0)*(L41*$D$6)/(12*INDEX(FUEL1MPG_Cls3,$A41-($A$24-1),MATCH(R$20,TECHOPTS_Cls3,0)))+IFERROR(VLOOKUP($A41,IF($D$5="Central",FuelPriceCent,FuelPriceNCent),MATCH(INDEX($G$11:$G$16,MATCH(R$20,$B$11:$B$16,0)),FuelPriceCols,0),0),0)*((1-L41)*$D$6)/(12*INDEX(FUEL2MPG_Cls3,$A41-($A$24-1),MATCH(R$20,TECHOPTS_Cls3,0)))</f>
        <v>9116.7288779578612</v>
      </c>
      <c r="S41" s="278" cm="1">
        <f t="array" ref="S41">VLOOKUP($A41,IF($D$5="Central",FuelPriceCent,FuelPriceNCent),MATCH(S$21,FuelPriceCols,0),0)*(M41*$D$6)/(12*INDEX(FUEL1MPG_Cls3,$A41-($A$24-1),MATCH(S$20,TECHOPTS_Cls3,0)))+IFERROR(VLOOKUP($A41,IF($D$5="Central",FuelPriceCent,FuelPriceNCent),MATCH(INDEX($G$11:$G$16,MATCH(S$20,$B$11:$B$16,0)),FuelPriceCols,0),0),0)*((1-M41)*$D$6)/(12*INDEX(FUEL2MPG_Cls3,$A41-($A$24-1),MATCH(S$20,TECHOPTS_Cls3,0)))</f>
        <v>58027.248905625012</v>
      </c>
      <c r="T41" s="734">
        <f t="shared" si="30"/>
        <v>166.55901056386938</v>
      </c>
      <c r="U41" s="290">
        <f t="shared" si="31"/>
        <v>2862.6621934814148</v>
      </c>
      <c r="V41" s="290">
        <f t="shared" si="32"/>
        <v>1244.2956020416414</v>
      </c>
      <c r="W41" s="290">
        <f t="shared" si="33"/>
        <v>-389.84638581587569</v>
      </c>
      <c r="X41" s="291">
        <f t="shared" si="34"/>
        <v>-49300.366413483025</v>
      </c>
      <c r="Y41" s="279" cm="1">
        <f t="array" aca="1" ref="Y41" ca="1">IF(AND(Y$22=TRUE,INDEX(CDRANGE_CLS3,MATCH($A41,$A$24:$A$67,0),MATCH(Y$20,$B$20:$G$20,0))&lt;$D$6/OPDAYS_Cls3),86,payback(C41,T41,disc_rate/12,85))</f>
        <v>86</v>
      </c>
      <c r="Z41" s="280" cm="1">
        <f t="array" aca="1" ref="Z41" ca="1">IF(AND(Z$22=TRUE,INDEX(CDRANGE_CLS3,MATCH($A41,$A$24:$A$67,0),MATCH(Z$20,$B$20:$G$20,0))&lt;$D$6/OPDAYS_Cls3),86,payback(D41,U41,disc_rate/12,85))</f>
        <v>86</v>
      </c>
      <c r="AA41" s="280" cm="1">
        <f t="array" ref="AA41">IF(AND(AA$22=TRUE,INDEX(CDRANGE_CLS3,MATCH($A41,$A$24:$A$67,0),MATCH(AA$20,$B$20:$G$20,0))&lt;$D$6/OPDAYS_Cls3),86,payback(E41,V41,disc_rate/12,85))</f>
        <v>86</v>
      </c>
      <c r="AB41" s="280" cm="1">
        <f t="array" aca="1" ref="AB41" ca="1">IF(AND(AB$22=TRUE,INDEX(CDRANGE_CLS3,MATCH($A41,$A$24:$A$67,0),MATCH(AB$20,$B$20:$G$20,0))&lt;$D$6/OPDAYS_Cls3),86,payback(F41,W41,disc_rate/12,85))</f>
        <v>86</v>
      </c>
      <c r="AC41" s="281" cm="1">
        <f t="array" aca="1" ref="AC41" ca="1">IF(AND(AC$22=TRUE,INDEX(CDRANGE_CLS3,MATCH($A41,$A$24:$A$67,0),MATCH(AC$20,$B$20:$G$20,0))&lt;$D$6/OPDAYS_Cls3),86,payback(G41,X41,disc_rate/12,85))</f>
        <v>86</v>
      </c>
      <c r="AD41" s="296">
        <f t="shared" si="35"/>
        <v>0</v>
      </c>
      <c r="AE41" s="297">
        <f t="shared" si="36"/>
        <v>0</v>
      </c>
      <c r="AF41" s="297">
        <f t="shared" si="37"/>
        <v>0</v>
      </c>
      <c r="AG41" s="297">
        <f t="shared" si="38"/>
        <v>0</v>
      </c>
      <c r="AH41" s="298">
        <f t="shared" si="39"/>
        <v>0</v>
      </c>
      <c r="AI41" s="595" cm="1">
        <f t="array" ref="AI41">IF($A41&lt;AI$23,0,AI$21+VLOOKUP($A41-AI$23,SCdata,2,1)*(AI$22-AI$21))*IF($D$5="Non-Central",INDEX(fuel_avail,$A41-$A$24+1,MATCH(O$21,Fuels,0)),1)</f>
        <v>0</v>
      </c>
      <c r="AJ41" s="300" cm="1">
        <f t="array" ref="AJ41">IF($A41&lt;AJ$23,0,AJ$21+VLOOKUP($A41-AJ$23,SCdata,2,1)*(AJ$22-AJ$21))*IF($D$5="Non-Central",INDEX(fuel_avail,$A41-$A$24+1,MATCH(P$21,Fuels,0)),1)</f>
        <v>0</v>
      </c>
      <c r="AK41" s="300" cm="1">
        <f t="array" ref="AK41">IF($A41&lt;AK$23,0,AK$21+VLOOKUP($A41-AK$23,SCdata,2,1)*(AK$22-AK$21))*IF($D$5="Non-Central",INDEX(fuel_avail,$A41-$A$24+1,MATCH(Q$21,Fuels,0)),1)</f>
        <v>0</v>
      </c>
      <c r="AL41" s="300" cm="1">
        <f t="array" ref="AL41">IF($A41&lt;AL$23,0,AL$21+VLOOKUP($A41-AL$23,SCdata,2,1)*(AL$22-AL$21))*IF($D$5="Non-Central",INDEX(fuel_avail,$A41-$A$24+1,MATCH(R$21,Fuels,0)),1)</f>
        <v>0</v>
      </c>
      <c r="AM41" s="598" cm="1">
        <f t="array" ref="AM41">IF($A41&lt;AM$23,0,AM$21+VLOOKUP($A41-AM$23,SCdata,2,1)*(AM$22-AM$21))*IF($D$5="Non-Central",INDEX(fuel_avail,$A41-$A$24+1,MATCH(S$21,Fuels,0)),1)</f>
        <v>0</v>
      </c>
      <c r="AN41" s="299">
        <f t="shared" si="52"/>
        <v>0</v>
      </c>
      <c r="AO41" s="300">
        <f t="shared" si="52"/>
        <v>0</v>
      </c>
      <c r="AP41" s="300">
        <f t="shared" si="52"/>
        <v>0</v>
      </c>
      <c r="AQ41" s="300">
        <f t="shared" si="52"/>
        <v>0</v>
      </c>
      <c r="AR41" s="598">
        <f t="shared" si="52"/>
        <v>0</v>
      </c>
      <c r="AS41" s="296">
        <f t="shared" ca="1" si="41"/>
        <v>0</v>
      </c>
      <c r="AT41" s="297">
        <f t="shared" ca="1" si="42"/>
        <v>0</v>
      </c>
      <c r="AU41" s="297">
        <f t="shared" si="43"/>
        <v>0</v>
      </c>
      <c r="AV41" s="297">
        <f t="shared" ca="1" si="44"/>
        <v>0</v>
      </c>
      <c r="AW41" s="298">
        <f t="shared" ca="1" si="45"/>
        <v>0</v>
      </c>
      <c r="AX41" s="296">
        <f t="shared" ca="1" si="46"/>
        <v>0</v>
      </c>
      <c r="AY41" s="297">
        <f t="shared" ca="1" si="46"/>
        <v>0</v>
      </c>
      <c r="AZ41" s="297">
        <f t="shared" si="46"/>
        <v>0</v>
      </c>
      <c r="BA41" s="297">
        <f t="shared" ca="1" si="46"/>
        <v>0</v>
      </c>
      <c r="BB41" s="298">
        <f t="shared" ca="1" si="46"/>
        <v>0</v>
      </c>
      <c r="BC41" s="296">
        <f t="shared" ca="1" si="53"/>
        <v>1</v>
      </c>
      <c r="BD41" s="297">
        <f t="shared" ca="1" si="47"/>
        <v>0</v>
      </c>
      <c r="BE41" s="297">
        <f t="shared" ca="1" si="48"/>
        <v>0</v>
      </c>
      <c r="BF41" s="297">
        <f t="shared" ca="1" si="49"/>
        <v>0</v>
      </c>
      <c r="BG41" s="297">
        <f t="shared" ca="1" si="50"/>
        <v>0</v>
      </c>
      <c r="BH41" s="298">
        <f t="shared" ca="1" si="51"/>
        <v>0</v>
      </c>
    </row>
    <row r="42" spans="1:62" ht="13.5" thickBot="1" x14ac:dyDescent="0.25">
      <c r="A42" s="302">
        <v>2025</v>
      </c>
      <c r="B42" s="823" cm="1">
        <f t="array" ref="B42">ROUND(INDEX(COST_Cls3,$A42-($A$24-1),MATCH(B$20,TECHOPTS_Cls3,0)),2)</f>
        <v>82474.17</v>
      </c>
      <c r="C42" s="824" cm="1">
        <f t="array" ref="C42">ROUND(INDEX(COST_Cls3,$A42-($A$24-1),MATCH(C$20,TECHOPTS_Cls3,0)),2)</f>
        <v>119.27</v>
      </c>
      <c r="D42" s="824" cm="1">
        <f t="array" ref="D42">ROUND(INDEX(COST_Cls3,$A42-($A$24-1),MATCH(D$20,TECHOPTS_Cls3,0)),2)</f>
        <v>5817.19</v>
      </c>
      <c r="E42" s="824" cm="1">
        <f t="array" ref="E42">ROUND(INDEX(COST_Cls3,$A42-($A$24-1),MATCH(E$20,TECHOPTS_Cls3,0)),2)</f>
        <v>234567.38</v>
      </c>
      <c r="F42" s="824" cm="1">
        <f t="array" ref="F42">ROUND(INDEX(COST_Cls3,$A42-($A$24-1),MATCH(F$20,TECHOPTS_Cls3,0)),2)</f>
        <v>82769.350000000006</v>
      </c>
      <c r="G42" s="825" cm="1">
        <f t="array" ref="G42">ROUND(INDEX(COST_Cls3,$A42-($A$24-1),MATCH(G$20,TECHOPTS_Cls3,0)),2)</f>
        <v>1000000</v>
      </c>
      <c r="H42" s="781" cm="1">
        <f t="array" ref="H42">IF(H$21="Single-fuel",1,1-MIN(INDEX(CDRANGE_CLS3,$A42-($A$24-1),MATCH(H$20,TECHOPTS_Cls3,0))*OPDAYS_Cls3/$D$6,1))</f>
        <v>1</v>
      </c>
      <c r="I42" s="782" cm="1">
        <f t="array" ref="I42">IF(I$21="Single-fuel",1,1-MIN(INDEX(CDRANGE_CLS3,$A42-($A$24-1),MATCH(I$20,TECHOPTS_Cls3,0))*OPDAYS_Cls3/$D$6,1))</f>
        <v>1</v>
      </c>
      <c r="J42" s="782" cm="1">
        <f t="array" ref="J42">IF(J$21="Single-fuel",1,1-MIN(INDEX(CDRANGE_CLS3,$A42-($A$24-1),MATCH(J$20,TECHOPTS_Cls3,0))*OPDAYS_Cls3/$D$6,1))</f>
        <v>1</v>
      </c>
      <c r="K42" s="782" cm="1">
        <f t="array" ref="K42">IF(K$21="Single-fuel",1,1-MIN(INDEX(CDRANGE_CLS3,$A42-($A$24-1),MATCH(K$20,TECHOPTS_Cls3,0))*OPDAYS_Cls3/$D$6,1))</f>
        <v>1</v>
      </c>
      <c r="L42" s="782" cm="1">
        <f t="array" ref="L42">IF(L$21="Single-fuel",1,1-MIN(INDEX(CDRANGE_CLS3,$A42-($A$24-1),MATCH(L$20,TECHOPTS_Cls3,0))*OPDAYS_Cls3/$D$6,1))</f>
        <v>1</v>
      </c>
      <c r="M42" s="783" cm="1">
        <f t="array" ref="M42">IF(M$21="Single-fuel",1,1-MIN(INDEX(CDRANGE_CLS3,$A42-($A$24-1),MATCH(M$20,TECHOPTS_Cls3,0))*OPDAYS_Cls3/$D$6,1))</f>
        <v>1</v>
      </c>
      <c r="N42" s="883" cm="1">
        <f t="array" ref="N42">VLOOKUP($A42,IF($D$5="Central",FuelPriceCent,FuelPriceNCent),MATCH(N$21,FuelPriceCols,0),0)*(H42*$D$6)/(12*INDEX(FUEL1MPG_Cls3,$A42-($A$24-1),MATCH(N$20,TECHOPTS_Cls3,0)))+IFERROR(VLOOKUP($A42,IF($D$5="Central",FuelPriceCent,FuelPriceNCent),MATCH(INDEX($G$11:$G$16,MATCH(N$20,$B$11:$B$16,0)),FuelPriceCols,0),0),0)*((1-H42)*$D$6)/(12*INDEX(FUEL2MPG_Cls3,$A42-($A$24-1),MATCH(N$20,TECHOPTS_Cls3,0)))</f>
        <v>8534.8413347818969</v>
      </c>
      <c r="O42" s="779" cm="1">
        <f t="array" ref="O42">VLOOKUP($A42,IF($D$5="Central",FuelPriceCent,FuelPriceNCent),MATCH(O$21,FuelPriceCols,0),0)*(I42*$D$6)/(12*INDEX(FUEL1MPG_Cls3,$A42-($A$24-1),MATCH(O$20,TECHOPTS_Cls3,0)))+IFERROR(VLOOKUP($A42,IF($D$5="Central",FuelPriceCent,FuelPriceNCent),MATCH(INDEX($G$11:$G$16,MATCH(O$20,$B$11:$B$16,0)),FuelPriceCols,0),0),0)*((1-I42)*$D$6)/(12*INDEX(FUEL2MPG_Cls3,$A42-($A$24-1),MATCH(O$20,TECHOPTS_Cls3,0)))</f>
        <v>8315.7973261338357</v>
      </c>
      <c r="P42" s="779" cm="1">
        <f t="array" ref="P42">VLOOKUP($A42,IF($D$5="Central",FuelPriceCent,FuelPriceNCent),MATCH(P$21,FuelPriceCols,0),0)*(J42*$D$6)/(12*INDEX(FUEL1MPG_Cls3,$A42-($A$24-1),MATCH(P$20,TECHOPTS_Cls3,0)))+IFERROR(VLOOKUP($A42,IF($D$5="Central",FuelPriceCent,FuelPriceNCent),MATCH(INDEX($G$11:$G$16,MATCH(P$20,$B$11:$B$16,0)),FuelPriceCols,0),0),0)*((1-J42)*$D$6)/(12*INDEX(FUEL2MPG_Cls3,$A42-($A$24-1),MATCH(P$20,TECHOPTS_Cls3,0)))</f>
        <v>5705.7976159382961</v>
      </c>
      <c r="Q42" s="779" cm="1">
        <f t="array" ref="Q42">VLOOKUP($A42,IF($D$5="Central",FuelPriceCent,FuelPriceNCent),MATCH(Q$21,FuelPriceCols,0),0)*(K42*$D$6)/(12*INDEX(FUEL1MPG_Cls3,$A42-($A$24-1),MATCH(Q$20,TECHOPTS_Cls3,0)))+IFERROR(VLOOKUP($A42,IF($D$5="Central",FuelPriceCent,FuelPriceNCent),MATCH(INDEX($G$11:$G$16,MATCH(Q$20,$B$11:$B$16,0)),FuelPriceCols,0),0),0)*((1-K42)*$D$6)/(12*INDEX(FUEL2MPG_Cls3,$A42-($A$24-1),MATCH(Q$20,TECHOPTS_Cls3,0)))</f>
        <v>7455.685197159095</v>
      </c>
      <c r="R42" s="779" cm="1">
        <f t="array" ref="R42">VLOOKUP($A42,IF($D$5="Central",FuelPriceCent,FuelPriceNCent),MATCH(R$21,FuelPriceCols,0),0)*(L42*$D$6)/(12*INDEX(FUEL1MPG_Cls3,$A42-($A$24-1),MATCH(R$20,TECHOPTS_Cls3,0)))+IFERROR(VLOOKUP($A42,IF($D$5="Central",FuelPriceCent,FuelPriceNCent),MATCH(INDEX($G$11:$G$16,MATCH(R$20,$B$11:$B$16,0)),FuelPriceCols,0),0),0)*((1-L42)*$D$6)/(12*INDEX(FUEL2MPG_Cls3,$A42-($A$24-1),MATCH(R$20,TECHOPTS_Cls3,0)))</f>
        <v>8263.5999957826298</v>
      </c>
      <c r="S42" s="780" cm="1">
        <f t="array" ref="S42">VLOOKUP($A42,IF($D$5="Central",FuelPriceCent,FuelPriceNCent),MATCH(S$21,FuelPriceCols,0),0)*(M42*$D$6)/(12*INDEX(FUEL1MPG_Cls3,$A42-($A$24-1),MATCH(S$20,TECHOPTS_Cls3,0)))+IFERROR(VLOOKUP($A42,IF($D$5="Central",FuelPriceCent,FuelPriceNCent),MATCH(INDEX($G$11:$G$16,MATCH(S$20,$B$11:$B$16,0)),FuelPriceCols,0),0),0)*((1-M42)*$D$6)/(12*INDEX(FUEL2MPG_Cls3,$A42-($A$24-1),MATCH(S$20,TECHOPTS_Cls3,0)))</f>
        <v>58373.184043124995</v>
      </c>
      <c r="T42" s="737">
        <f t="shared" si="30"/>
        <v>219.04400864806121</v>
      </c>
      <c r="U42" s="304">
        <f t="shared" si="31"/>
        <v>2829.0437188436008</v>
      </c>
      <c r="V42" s="304">
        <f t="shared" si="32"/>
        <v>1079.1561376228019</v>
      </c>
      <c r="W42" s="304">
        <f t="shared" si="33"/>
        <v>271.2413389992671</v>
      </c>
      <c r="X42" s="305">
        <f t="shared" si="34"/>
        <v>-49838.342708343102</v>
      </c>
      <c r="Y42" s="888" cm="1">
        <f t="array" aca="1" ref="Y42" ca="1">IF(AND(Y$22=TRUE,INDEX(CDRANGE_CLS3,MATCH($A42,$A$24:$A$67,0),MATCH(Y$20,$B$20:$G$20,0))&lt;$D$6/OPDAYS_Cls3),86,payback(C42,T42,disc_rate/12,85))</f>
        <v>1</v>
      </c>
      <c r="Z42" s="889" cm="1">
        <f t="array" aca="1" ref="Z42" ca="1">IF(AND(Z$22=TRUE,INDEX(CDRANGE_CLS3,MATCH($A42,$A$24:$A$67,0),MATCH(Z$20,$B$20:$G$20,0))&lt;$D$6/OPDAYS_Cls3),86,payback(D42,U42,disc_rate/12,85))</f>
        <v>3</v>
      </c>
      <c r="AA42" s="889" cm="1">
        <f t="array" ref="AA42">IF(AND(AA$22=TRUE,INDEX(CDRANGE_CLS3,MATCH($A42,$A$24:$A$67,0),MATCH(AA$20,$B$20:$G$20,0))&lt;$D$6/OPDAYS_Cls3),86,payback(E42,V42,disc_rate/12,85))</f>
        <v>86</v>
      </c>
      <c r="AB42" s="889" cm="1">
        <f t="array" aca="1" ref="AB42" ca="1">IF(AND(AB$22=TRUE,INDEX(CDRANGE_CLS3,MATCH($A42,$A$24:$A$67,0),MATCH(AB$20,$B$20:$G$20,0))&lt;$D$6/OPDAYS_Cls3),86,payback(F42,W42,disc_rate/12,85))</f>
        <v>86</v>
      </c>
      <c r="AC42" s="890" cm="1">
        <f t="array" aca="1" ref="AC42" ca="1">IF(AND(AC$22=TRUE,INDEX(CDRANGE_CLS3,MATCH($A42,$A$24:$A$67,0),MATCH(AC$20,$B$20:$G$20,0))&lt;$D$6/OPDAYS_Cls3),86,payback(G42,X42,disc_rate/12,85))</f>
        <v>86</v>
      </c>
      <c r="AD42" s="310">
        <f t="shared" si="35"/>
        <v>0</v>
      </c>
      <c r="AE42" s="311">
        <f t="shared" si="36"/>
        <v>0</v>
      </c>
      <c r="AF42" s="311">
        <f t="shared" si="37"/>
        <v>0</v>
      </c>
      <c r="AG42" s="311">
        <f t="shared" si="38"/>
        <v>0</v>
      </c>
      <c r="AH42" s="312">
        <f t="shared" si="39"/>
        <v>0</v>
      </c>
      <c r="AI42" s="596" cm="1">
        <f t="array" ref="AI42">IF($A42&lt;AI$23,0,AI$21+VLOOKUP($A42-AI$23,SCdata,2,1)*(AI$22-AI$21))*IF($D$5="Non-Central",INDEX(fuel_avail,$A42-$A$24+1,MATCH(O$21,Fuels,0)),1)</f>
        <v>0</v>
      </c>
      <c r="AJ42" s="314" cm="1">
        <f t="array" ref="AJ42">IF($A42&lt;AJ$23,0,AJ$21+VLOOKUP($A42-AJ$23,SCdata,2,1)*(AJ$22-AJ$21))*IF($D$5="Non-Central",INDEX(fuel_avail,$A42-$A$24+1,MATCH(P$21,Fuels,0)),1)</f>
        <v>0</v>
      </c>
      <c r="AK42" s="314" cm="1">
        <f t="array" ref="AK42">IF($A42&lt;AK$23,0,AK$21+VLOOKUP($A42-AK$23,SCdata,2,1)*(AK$22-AK$21))*IF($D$5="Non-Central",INDEX(fuel_avail,$A42-$A$24+1,MATCH(Q$21,Fuels,0)),1)</f>
        <v>0</v>
      </c>
      <c r="AL42" s="314" cm="1">
        <f t="array" ref="AL42">IF($A42&lt;AL$23,0,AL$21+VLOOKUP($A42-AL$23,SCdata,2,1)*(AL$22-AL$21))*IF($D$5="Non-Central",INDEX(fuel_avail,$A42-$A$24+1,MATCH(R$21,Fuels,0)),1)</f>
        <v>0</v>
      </c>
      <c r="AM42" s="599" cm="1">
        <f t="array" ref="AM42">IF($A42&lt;AM$23,0,AM$21+VLOOKUP($A42-AM$23,SCdata,2,1)*(AM$22-AM$21))*IF($D$5="Non-Central",INDEX(fuel_avail,$A42-$A$24+1,MATCH(S$21,Fuels,0)),1)</f>
        <v>0</v>
      </c>
      <c r="AN42" s="313">
        <f t="shared" si="52"/>
        <v>0.99999419071385187</v>
      </c>
      <c r="AO42" s="314">
        <f t="shared" si="52"/>
        <v>0.98627568401498611</v>
      </c>
      <c r="AP42" s="314">
        <f t="shared" si="52"/>
        <v>1.7439871768942794E-10</v>
      </c>
      <c r="AQ42" s="314">
        <f t="shared" si="52"/>
        <v>6.0950267960383386E-2</v>
      </c>
      <c r="AR42" s="599">
        <f t="shared" si="52"/>
        <v>0</v>
      </c>
      <c r="AS42" s="310">
        <f t="shared" ca="1" si="41"/>
        <v>0</v>
      </c>
      <c r="AT42" s="311">
        <f t="shared" ca="1" si="42"/>
        <v>0</v>
      </c>
      <c r="AU42" s="311">
        <f t="shared" si="43"/>
        <v>0</v>
      </c>
      <c r="AV42" s="311">
        <f t="shared" ca="1" si="44"/>
        <v>0</v>
      </c>
      <c r="AW42" s="312">
        <f t="shared" ca="1" si="45"/>
        <v>0</v>
      </c>
      <c r="AX42" s="310">
        <f t="shared" ca="1" si="46"/>
        <v>0</v>
      </c>
      <c r="AY42" s="311">
        <f t="shared" ca="1" si="46"/>
        <v>0</v>
      </c>
      <c r="AZ42" s="311">
        <f t="shared" si="46"/>
        <v>0</v>
      </c>
      <c r="BA42" s="311">
        <f t="shared" ca="1" si="46"/>
        <v>0</v>
      </c>
      <c r="BB42" s="312">
        <f t="shared" ca="1" si="46"/>
        <v>0</v>
      </c>
      <c r="BC42" s="310">
        <f t="shared" ca="1" si="53"/>
        <v>1</v>
      </c>
      <c r="BD42" s="311">
        <f t="shared" ca="1" si="47"/>
        <v>0</v>
      </c>
      <c r="BE42" s="311">
        <f t="shared" ca="1" si="48"/>
        <v>0</v>
      </c>
      <c r="BF42" s="311">
        <f t="shared" ca="1" si="49"/>
        <v>0</v>
      </c>
      <c r="BG42" s="311">
        <f t="shared" ca="1" si="50"/>
        <v>0</v>
      </c>
      <c r="BH42" s="312">
        <f t="shared" ca="1" si="51"/>
        <v>0</v>
      </c>
      <c r="BJ42" s="540"/>
    </row>
    <row r="43" spans="1:62" x14ac:dyDescent="0.2">
      <c r="A43" s="316">
        <v>2026</v>
      </c>
      <c r="B43" s="826" cm="1">
        <f t="array" ref="B43">ROUND(INDEX(COST_Cls3,$A43-($A$24-1),MATCH(B$20,TECHOPTS_Cls3,0)),2)</f>
        <v>82644.149999999994</v>
      </c>
      <c r="C43" s="827" cm="1">
        <f t="array" ref="C43">ROUND(INDEX(COST_Cls3,$A43-($A$24-1),MATCH(C$20,TECHOPTS_Cls3,0)),2)</f>
        <v>149.56</v>
      </c>
      <c r="D43" s="827" cm="1">
        <f t="array" ref="D43">ROUND(INDEX(COST_Cls3,$A43-($A$24-1),MATCH(D$20,TECHOPTS_Cls3,0)),2)</f>
        <v>5576.76</v>
      </c>
      <c r="E43" s="827" cm="1">
        <f t="array" ref="E43">ROUND(INDEX(COST_Cls3,$A43-($A$24-1),MATCH(E$20,TECHOPTS_Cls3,0)),2)</f>
        <v>212198.99</v>
      </c>
      <c r="F43" s="827" cm="1">
        <f t="array" ref="F43">ROUND(INDEX(COST_Cls3,$A43-($A$24-1),MATCH(F$20,TECHOPTS_Cls3,0)),2)</f>
        <v>75629.929999999993</v>
      </c>
      <c r="G43" s="828" cm="1">
        <f t="array" ref="G43">ROUND(INDEX(COST_Cls3,$A43-($A$24-1),MATCH(G$20,TECHOPTS_Cls3,0)),2)</f>
        <v>1000000</v>
      </c>
      <c r="H43" s="781" cm="1">
        <f t="array" ref="H43">IF(H$21="Single-fuel",1,1-MIN(INDEX(CDRANGE_CLS3,$A43-($A$24-1),MATCH(H$20,TECHOPTS_Cls3,0))*OPDAYS_Cls3/$D$6,1))</f>
        <v>1</v>
      </c>
      <c r="I43" s="782" cm="1">
        <f t="array" ref="I43">IF(I$21="Single-fuel",1,1-MIN(INDEX(CDRANGE_CLS3,$A43-($A$24-1),MATCH(I$20,TECHOPTS_Cls3,0))*OPDAYS_Cls3/$D$6,1))</f>
        <v>1</v>
      </c>
      <c r="J43" s="782" cm="1">
        <f t="array" ref="J43">IF(J$21="Single-fuel",1,1-MIN(INDEX(CDRANGE_CLS3,$A43-($A$24-1),MATCH(J$20,TECHOPTS_Cls3,0))*OPDAYS_Cls3/$D$6,1))</f>
        <v>1</v>
      </c>
      <c r="K43" s="782" cm="1">
        <f t="array" ref="K43">IF(K$21="Single-fuel",1,1-MIN(INDEX(CDRANGE_CLS3,$A43-($A$24-1),MATCH(K$20,TECHOPTS_Cls3,0))*OPDAYS_Cls3/$D$6,1))</f>
        <v>1</v>
      </c>
      <c r="L43" s="782" cm="1">
        <f t="array" ref="L43">IF(L$21="Single-fuel",1,1-MIN(INDEX(CDRANGE_CLS3,$A43-($A$24-1),MATCH(L$20,TECHOPTS_Cls3,0))*OPDAYS_Cls3/$D$6,1))</f>
        <v>1</v>
      </c>
      <c r="M43" s="783" cm="1">
        <f t="array" ref="M43">IF(M$21="Single-fuel",1,1-MIN(INDEX(CDRANGE_CLS3,$A43-($A$24-1),MATCH(M$20,TECHOPTS_Cls3,0))*OPDAYS_Cls3/$D$6,1))</f>
        <v>1</v>
      </c>
      <c r="N43" s="733" cm="1">
        <f t="array" ref="N43">VLOOKUP($A43,IF($D$5="Central",FuelPriceCent,FuelPriceNCent),MATCH(N$21,FuelPriceCols,0),0)*(H43*$D$6)/(12*INDEX(FUEL1MPG_Cls3,$A43-($A$24-1),MATCH(N$20,TECHOPTS_Cls3,0)))+IFERROR(VLOOKUP($A43,IF($D$5="Central",FuelPriceCent,FuelPriceNCent),MATCH(INDEX($G$11:$G$16,MATCH(N$20,$B$11:$B$16,0)),FuelPriceCols,0),0),0)*((1-H43)*$D$6)/(12*INDEX(FUEL2MPG_Cls3,$A43-($A$24-1),MATCH(N$20,TECHOPTS_Cls3,0)))</f>
        <v>8455.936198334497</v>
      </c>
      <c r="O43" s="276" cm="1">
        <f t="array" ref="O43">VLOOKUP($A43,IF($D$5="Central",FuelPriceCent,FuelPriceNCent),MATCH(O$21,FuelPriceCols,0),0)*(I43*$D$6)/(12*INDEX(FUEL1MPG_Cls3,$A43-($A$24-1),MATCH(O$20,TECHOPTS_Cls3,0)))+IFERROR(VLOOKUP($A43,IF($D$5="Central",FuelPriceCent,FuelPriceNCent),MATCH(INDEX($G$11:$G$16,MATCH(O$20,$B$11:$B$16,0)),FuelPriceCols,0),0),0)*((1-I43)*$D$6)/(12*INDEX(FUEL2MPG_Cls3,$A43-($A$24-1),MATCH(O$20,TECHOPTS_Cls3,0)))</f>
        <v>8242.239930636084</v>
      </c>
      <c r="P43" s="276" cm="1">
        <f t="array" ref="P43">VLOOKUP($A43,IF($D$5="Central",FuelPriceCent,FuelPriceNCent),MATCH(P$21,FuelPriceCols,0),0)*(J43*$D$6)/(12*INDEX(FUEL1MPG_Cls3,$A43-($A$24-1),MATCH(P$20,TECHOPTS_Cls3,0)))+IFERROR(VLOOKUP($A43,IF($D$5="Central",FuelPriceCent,FuelPriceNCent),MATCH(INDEX($G$11:$G$16,MATCH(P$20,$B$11:$B$16,0)),FuelPriceCols,0),0),0)*((1-J43)*$D$6)/(12*INDEX(FUEL2MPG_Cls3,$A43-($A$24-1),MATCH(P$20,TECHOPTS_Cls3,0)))</f>
        <v>5662.1103532355946</v>
      </c>
      <c r="Q43" s="276" cm="1">
        <f t="array" ref="Q43">VLOOKUP($A43,IF($D$5="Central",FuelPriceCent,FuelPriceNCent),MATCH(Q$21,FuelPriceCols,0),0)*(K43*$D$6)/(12*INDEX(FUEL1MPG_Cls3,$A43-($A$24-1),MATCH(Q$20,TECHOPTS_Cls3,0)))+IFERROR(VLOOKUP($A43,IF($D$5="Central",FuelPriceCent,FuelPriceNCent),MATCH(INDEX($G$11:$G$16,MATCH(Q$20,$B$11:$B$16,0)),FuelPriceCols,0),0),0)*((1-K43)*$D$6)/(12*INDEX(FUEL2MPG_Cls3,$A43-($A$24-1),MATCH(Q$20,TECHOPTS_Cls3,0)))</f>
        <v>7438.8994039168983</v>
      </c>
      <c r="R43" s="276" cm="1">
        <f t="array" ref="R43">VLOOKUP($A43,IF($D$5="Central",FuelPriceCent,FuelPriceNCent),MATCH(R$21,FuelPriceCols,0),0)*(L43*$D$6)/(12*INDEX(FUEL1MPG_Cls3,$A43-($A$24-1),MATCH(R$20,TECHOPTS_Cls3,0)))+IFERROR(VLOOKUP($A43,IF($D$5="Central",FuelPriceCent,FuelPriceNCent),MATCH(INDEX($G$11:$G$16,MATCH(R$20,$B$11:$B$16,0)),FuelPriceCols,0),0),0)*((1-L43)*$D$6)/(12*INDEX(FUEL2MPG_Cls3,$A43-($A$24-1),MATCH(R$20,TECHOPTS_Cls3,0)))</f>
        <v>7939.0612709580364</v>
      </c>
      <c r="S43" s="278" cm="1">
        <f t="array" ref="S43">VLOOKUP($A43,IF($D$5="Central",FuelPriceCent,FuelPriceNCent),MATCH(S$21,FuelPriceCols,0),0)*(M43*$D$6)/(12*INDEX(FUEL1MPG_Cls3,$A43-($A$24-1),MATCH(S$20,TECHOPTS_Cls3,0)))+IFERROR(VLOOKUP($A43,IF($D$5="Central",FuelPriceCent,FuelPriceNCent),MATCH(INDEX($G$11:$G$16,MATCH(S$20,$B$11:$B$16,0)),FuelPriceCols,0),0),0)*((1-M43)*$D$6)/(12*INDEX(FUEL2MPG_Cls3,$A43-($A$24-1),MATCH(S$20,TECHOPTS_Cls3,0)))</f>
        <v>59443.245007500002</v>
      </c>
      <c r="T43" s="733">
        <f t="shared" si="30"/>
        <v>213.69626769841307</v>
      </c>
      <c r="U43" s="276">
        <f t="shared" si="31"/>
        <v>2793.8258450989024</v>
      </c>
      <c r="V43" s="276">
        <f t="shared" si="32"/>
        <v>1017.0367944175987</v>
      </c>
      <c r="W43" s="276">
        <f t="shared" si="33"/>
        <v>516.87492737646062</v>
      </c>
      <c r="X43" s="277">
        <f t="shared" si="34"/>
        <v>-50987.308809165508</v>
      </c>
      <c r="Y43" s="279" cm="1">
        <f t="array" aca="1" ref="Y43" ca="1">IF(AND(Y$22=TRUE,INDEX(CDRANGE_CLS3,MATCH($A43,$A$24:$A$67,0),MATCH(Y$20,$B$20:$G$20,0))&lt;$D$6/OPDAYS_Cls3),86,payback(C43,T43,disc_rate/12,85))</f>
        <v>1</v>
      </c>
      <c r="Z43" s="280" cm="1">
        <f t="array" aca="1" ref="Z43" ca="1">IF(AND(Z$22=TRUE,INDEX(CDRANGE_CLS3,MATCH($A43,$A$24:$A$67,0),MATCH(Z$20,$B$20:$G$20,0))&lt;$D$6/OPDAYS_Cls3),86,payback(D43,U43,disc_rate/12,85))</f>
        <v>3</v>
      </c>
      <c r="AA43" s="280" cm="1">
        <f t="array" ref="AA43">IF(AND(AA$22=TRUE,INDEX(CDRANGE_CLS3,MATCH($A43,$A$24:$A$67,0),MATCH(AA$20,$B$20:$G$20,0))&lt;$D$6/OPDAYS_Cls3),86,payback(E43,V43,disc_rate/12,85))</f>
        <v>86</v>
      </c>
      <c r="AB43" s="280" cm="1">
        <f t="array" aca="1" ref="AB43" ca="1">IF(AND(AB$22=TRUE,INDEX(CDRANGE_CLS3,MATCH($A43,$A$24:$A$67,0),MATCH(AB$20,$B$20:$G$20,0))&lt;$D$6/OPDAYS_Cls3),86,payback(F43,W43,disc_rate/12,85))</f>
        <v>86</v>
      </c>
      <c r="AC43" s="281" cm="1">
        <f t="array" aca="1" ref="AC43" ca="1">IF(AND(AC$22=TRUE,INDEX(CDRANGE_CLS3,MATCH($A43,$A$24:$A$67,0),MATCH(AC$20,$B$20:$G$20,0))&lt;$D$6/OPDAYS_Cls3),86,payback(G43,X43,disc_rate/12,85))</f>
        <v>86</v>
      </c>
      <c r="AD43" s="282">
        <f t="shared" si="35"/>
        <v>0</v>
      </c>
      <c r="AE43" s="283">
        <f t="shared" si="36"/>
        <v>0</v>
      </c>
      <c r="AF43" s="283">
        <f t="shared" si="37"/>
        <v>0</v>
      </c>
      <c r="AG43" s="283">
        <f t="shared" si="38"/>
        <v>0</v>
      </c>
      <c r="AH43" s="284">
        <f t="shared" si="39"/>
        <v>0</v>
      </c>
      <c r="AI43" s="594" cm="1">
        <f t="array" ref="AI43">IF($A43&lt;AI$23,0,AI$21+VLOOKUP($A43-AI$23,SCdata,2,1)*(AI$22-AI$21))*IF($D$5="Non-Central",INDEX(fuel_avail,$A43-$A$24+1,MATCH(O$21,Fuels,0)),1)</f>
        <v>2.3712936588783391E-2</v>
      </c>
      <c r="AJ43" s="286" cm="1">
        <f t="array" ref="AJ43">IF($A43&lt;AJ$23,0,AJ$21+VLOOKUP($A43-AJ$23,SCdata,2,1)*(AJ$22-AJ$21))*IF($D$5="Non-Central",INDEX(fuel_avail,$A43-$A$24+1,MATCH(P$21,Fuels,0)),1)</f>
        <v>2.3712936588783391E-2</v>
      </c>
      <c r="AK43" s="286" cm="1">
        <f t="array" ref="AK43">IF($A43&lt;AK$23,0,AK$21+VLOOKUP($A43-AK$23,SCdata,2,1)*(AK$22-AK$21))*IF($D$5="Non-Central",INDEX(fuel_avail,$A43-$A$24+1,MATCH(Q$21,Fuels,0)),1)</f>
        <v>2.3712936588783391E-2</v>
      </c>
      <c r="AL43" s="286" cm="1">
        <f t="array" ref="AL43">IF($A43&lt;AL$23,0,AL$21+VLOOKUP($A43-AL$23,SCdata,2,1)*(AL$22-AL$21))*IF($D$5="Non-Central",INDEX(fuel_avail,$A43-$A$24+1,MATCH(R$21,Fuels,0)),1)</f>
        <v>2.3712936588783391E-2</v>
      </c>
      <c r="AM43" s="611" cm="1">
        <f t="array" ref="AM43">IF($A43&lt;AM$23,0,AM$21+VLOOKUP($A43-AM$23,SCdata,2,1)*(AM$22-AM$21))*IF($D$5="Non-Central",INDEX(fuel_avail,$A43-$A$24+1,MATCH(S$21,Fuels,0)),1)</f>
        <v>0</v>
      </c>
      <c r="AN43" s="285">
        <f t="shared" si="52"/>
        <v>0.99999090291605586</v>
      </c>
      <c r="AO43" s="286">
        <f t="shared" si="52"/>
        <v>0.98743120931053963</v>
      </c>
      <c r="AP43" s="286">
        <f t="shared" si="52"/>
        <v>1.113673619990152E-8</v>
      </c>
      <c r="AQ43" s="286">
        <f t="shared" si="52"/>
        <v>9.7659054615162555E-2</v>
      </c>
      <c r="AR43" s="611">
        <f t="shared" si="52"/>
        <v>0</v>
      </c>
      <c r="AS43" s="282">
        <f t="shared" ca="1" si="41"/>
        <v>4.7425873177566781E-2</v>
      </c>
      <c r="AT43" s="283">
        <f t="shared" ca="1" si="42"/>
        <v>4.7425873177566781E-2</v>
      </c>
      <c r="AU43" s="283">
        <f t="shared" si="43"/>
        <v>0</v>
      </c>
      <c r="AV43" s="283">
        <f t="shared" ca="1" si="44"/>
        <v>0</v>
      </c>
      <c r="AW43" s="284">
        <f t="shared" ca="1" si="45"/>
        <v>0</v>
      </c>
      <c r="AX43" s="282">
        <f t="shared" ca="1" si="46"/>
        <v>4.7425441740417358E-2</v>
      </c>
      <c r="AY43" s="283">
        <f t="shared" ca="1" si="46"/>
        <v>4.682978730433305E-2</v>
      </c>
      <c r="AZ43" s="283">
        <f t="shared" si="46"/>
        <v>0</v>
      </c>
      <c r="BA43" s="283">
        <f t="shared" ca="1" si="46"/>
        <v>0</v>
      </c>
      <c r="BB43" s="284">
        <f t="shared" ca="1" si="46"/>
        <v>0</v>
      </c>
      <c r="BC43" s="282">
        <f t="shared" ca="1" si="53"/>
        <v>0.95257455825958259</v>
      </c>
      <c r="BD43" s="283">
        <f t="shared" ca="1" si="47"/>
        <v>2.386257555223659E-2</v>
      </c>
      <c r="BE43" s="283">
        <f t="shared" ca="1" si="48"/>
        <v>2.3562866188180771E-2</v>
      </c>
      <c r="BF43" s="283">
        <f t="shared" ca="1" si="49"/>
        <v>0</v>
      </c>
      <c r="BG43" s="283">
        <f t="shared" ca="1" si="50"/>
        <v>0</v>
      </c>
      <c r="BH43" s="284">
        <f t="shared" ca="1" si="51"/>
        <v>0</v>
      </c>
    </row>
    <row r="44" spans="1:62" x14ac:dyDescent="0.2">
      <c r="A44" s="317">
        <v>2027</v>
      </c>
      <c r="B44" s="820" cm="1">
        <f t="array" ref="B44">ROUND(INDEX(COST_Cls3,$A44-($A$24-1),MATCH(B$20,TECHOPTS_Cls3,0)),2)</f>
        <v>82827.17</v>
      </c>
      <c r="C44" s="821" cm="1">
        <f t="array" ref="C44">ROUND(INDEX(COST_Cls3,$A44-($A$24-1),MATCH(C$20,TECHOPTS_Cls3,0)),2)</f>
        <v>185.83</v>
      </c>
      <c r="D44" s="821" cm="1">
        <f t="array" ref="D44">ROUND(INDEX(COST_Cls3,$A44-($A$24-1),MATCH(D$20,TECHOPTS_Cls3,0)),2)</f>
        <v>5288.83</v>
      </c>
      <c r="E44" s="821" cm="1">
        <f t="array" ref="E44">ROUND(INDEX(COST_Cls3,$A44-($A$24-1),MATCH(E$20,TECHOPTS_Cls3,0)),2)</f>
        <v>185410.83</v>
      </c>
      <c r="F44" s="821" cm="1">
        <f t="array" ref="F44">ROUND(INDEX(COST_Cls3,$A44-($A$24-1),MATCH(F$20,TECHOPTS_Cls3,0)),2)</f>
        <v>67079.83</v>
      </c>
      <c r="G44" s="822" cm="1">
        <f t="array" ref="G44">ROUND(INDEX(COST_Cls3,$A44-($A$24-1),MATCH(G$20,TECHOPTS_Cls3,0)),2)</f>
        <v>1000000</v>
      </c>
      <c r="H44" s="781" cm="1">
        <f t="array" ref="H44">IF(H$21="Single-fuel",1,1-MIN(INDEX(CDRANGE_CLS3,$A44-($A$24-1),MATCH(H$20,TECHOPTS_Cls3,0))*OPDAYS_Cls3/$D$6,1))</f>
        <v>1</v>
      </c>
      <c r="I44" s="782" cm="1">
        <f t="array" ref="I44">IF(I$21="Single-fuel",1,1-MIN(INDEX(CDRANGE_CLS3,$A44-($A$24-1),MATCH(I$20,TECHOPTS_Cls3,0))*OPDAYS_Cls3/$D$6,1))</f>
        <v>1</v>
      </c>
      <c r="J44" s="782" cm="1">
        <f t="array" ref="J44">IF(J$21="Single-fuel",1,1-MIN(INDEX(CDRANGE_CLS3,$A44-($A$24-1),MATCH(J$20,TECHOPTS_Cls3,0))*OPDAYS_Cls3/$D$6,1))</f>
        <v>1</v>
      </c>
      <c r="K44" s="782" cm="1">
        <f t="array" ref="K44">IF(K$21="Single-fuel",1,1-MIN(INDEX(CDRANGE_CLS3,$A44-($A$24-1),MATCH(K$20,TECHOPTS_Cls3,0))*OPDAYS_Cls3/$D$6,1))</f>
        <v>1</v>
      </c>
      <c r="L44" s="782" cm="1">
        <f t="array" ref="L44">IF(L$21="Single-fuel",1,1-MIN(INDEX(CDRANGE_CLS3,$A44-($A$24-1),MATCH(L$20,TECHOPTS_Cls3,0))*OPDAYS_Cls3/$D$6,1))</f>
        <v>1</v>
      </c>
      <c r="M44" s="783" cm="1">
        <f t="array" ref="M44">IF(M$21="Single-fuel",1,1-MIN(INDEX(CDRANGE_CLS3,$A44-($A$24-1),MATCH(M$20,TECHOPTS_Cls3,0))*OPDAYS_Cls3/$D$6,1))</f>
        <v>1</v>
      </c>
      <c r="N44" s="733" cm="1">
        <f t="array" ref="N44">VLOOKUP($A44,IF($D$5="Central",FuelPriceCent,FuelPriceNCent),MATCH(N$21,FuelPriceCols,0),0)*(H44*$D$6)/(12*INDEX(FUEL1MPG_Cls3,$A44-($A$24-1),MATCH(N$20,TECHOPTS_Cls3,0)))+IFERROR(VLOOKUP($A44,IF($D$5="Central",FuelPriceCent,FuelPriceNCent),MATCH(INDEX($G$11:$G$16,MATCH(N$20,$B$11:$B$16,0)),FuelPriceCols,0),0),0)*((1-H44)*$D$6)/(12*INDEX(FUEL2MPG_Cls3,$A44-($A$24-1),MATCH(N$20,TECHOPTS_Cls3,0)))</f>
        <v>8237.0174601776998</v>
      </c>
      <c r="O44" s="276" cm="1">
        <f t="array" ref="O44">VLOOKUP($A44,IF($D$5="Central",FuelPriceCent,FuelPriceNCent),MATCH(O$21,FuelPriceCols,0),0)*(I44*$D$6)/(12*INDEX(FUEL1MPG_Cls3,$A44-($A$24-1),MATCH(O$20,TECHOPTS_Cls3,0)))+IFERROR(VLOOKUP($A44,IF($D$5="Central",FuelPriceCent,FuelPriceNCent),MATCH(INDEX($G$11:$G$16,MATCH(O$20,$B$11:$B$16,0)),FuelPriceCols,0),0),0)*((1-I44)*$D$6)/(12*INDEX(FUEL2MPG_Cls3,$A44-($A$24-1),MATCH(O$20,TECHOPTS_Cls3,0)))</f>
        <v>8007.0525085856798</v>
      </c>
      <c r="P44" s="276" cm="1">
        <f t="array" ref="P44">VLOOKUP($A44,IF($D$5="Central",FuelPriceCent,FuelPriceNCent),MATCH(P$21,FuelPriceCols,0),0)*(J44*$D$6)/(12*INDEX(FUEL1MPG_Cls3,$A44-($A$24-1),MATCH(P$20,TECHOPTS_Cls3,0)))+IFERROR(VLOOKUP($A44,IF($D$5="Central",FuelPriceCent,FuelPriceNCent),MATCH(INDEX($G$11:$G$16,MATCH(P$20,$B$11:$B$16,0)),FuelPriceCols,0),0),0)*((1-J44)*$D$6)/(12*INDEX(FUEL2MPG_Cls3,$A44-($A$24-1),MATCH(P$20,TECHOPTS_Cls3,0)))</f>
        <v>5508.0078184272206</v>
      </c>
      <c r="Q44" s="276" cm="1">
        <f t="array" ref="Q44">VLOOKUP($A44,IF($D$5="Central",FuelPriceCent,FuelPriceNCent),MATCH(Q$21,FuelPriceCols,0),0)*(K44*$D$6)/(12*INDEX(FUEL1MPG_Cls3,$A44-($A$24-1),MATCH(Q$20,TECHOPTS_Cls3,0)))+IFERROR(VLOOKUP($A44,IF($D$5="Central",FuelPriceCent,FuelPriceNCent),MATCH(INDEX($G$11:$G$16,MATCH(Q$20,$B$11:$B$16,0)),FuelPriceCols,0),0),0)*((1-K44)*$D$6)/(12*INDEX(FUEL2MPG_Cls3,$A44-($A$24-1),MATCH(Q$20,TECHOPTS_Cls3,0)))</f>
        <v>7326.1637488301803</v>
      </c>
      <c r="R44" s="276" cm="1">
        <f t="array" ref="R44">VLOOKUP($A44,IF($D$5="Central",FuelPriceCent,FuelPriceNCent),MATCH(R$21,FuelPriceCols,0),0)*(L44*$D$6)/(12*INDEX(FUEL1MPG_Cls3,$A44-($A$24-1),MATCH(R$20,TECHOPTS_Cls3,0)))+IFERROR(VLOOKUP($A44,IF($D$5="Central",FuelPriceCent,FuelPriceNCent),MATCH(INDEX($G$11:$G$16,MATCH(R$20,$B$11:$B$16,0)),FuelPriceCols,0),0),0)*((1-L44)*$D$6)/(12*INDEX(FUEL2MPG_Cls3,$A44-($A$24-1),MATCH(R$20,TECHOPTS_Cls3,0)))</f>
        <v>7595.7661340727254</v>
      </c>
      <c r="S44" s="278" cm="1">
        <f t="array" ref="S44">VLOOKUP($A44,IF($D$5="Central",FuelPriceCent,FuelPriceNCent),MATCH(S$21,FuelPriceCols,0),0)*(M44*$D$6)/(12*INDEX(FUEL1MPG_Cls3,$A44-($A$24-1),MATCH(S$20,TECHOPTS_Cls3,0)))+IFERROR(VLOOKUP($A44,IF($D$5="Central",FuelPriceCent,FuelPriceNCent),MATCH(INDEX($G$11:$G$16,MATCH(S$20,$B$11:$B$16,0)),FuelPriceCols,0),0),0)*((1-M44)*$D$6)/(12*INDEX(FUEL2MPG_Cls3,$A44-($A$24-1),MATCH(S$20,TECHOPTS_Cls3,0)))</f>
        <v>59592.713328749996</v>
      </c>
      <c r="T44" s="734">
        <f t="shared" si="30"/>
        <v>229.96495159202004</v>
      </c>
      <c r="U44" s="290">
        <f t="shared" si="31"/>
        <v>2729.0096417504792</v>
      </c>
      <c r="V44" s="290">
        <f t="shared" si="32"/>
        <v>910.85371134751949</v>
      </c>
      <c r="W44" s="290">
        <f t="shared" si="33"/>
        <v>641.2513261049744</v>
      </c>
      <c r="X44" s="291">
        <f t="shared" si="34"/>
        <v>-51355.695868572293</v>
      </c>
      <c r="Y44" s="279" cm="1">
        <f t="array" aca="1" ref="Y44" ca="1">IF(AND(Y$22=TRUE,INDEX(CDRANGE_CLS3,MATCH($A44,$A$24:$A$67,0),MATCH(Y$20,$B$20:$G$20,0))&lt;$D$6/OPDAYS_Cls3),86,payback(C44,T44,disc_rate/12,85))</f>
        <v>1</v>
      </c>
      <c r="Z44" s="280" cm="1">
        <f t="array" aca="1" ref="Z44" ca="1">IF(AND(Z$22=TRUE,INDEX(CDRANGE_CLS3,MATCH($A44,$A$24:$A$67,0),MATCH(Z$20,$B$20:$G$20,0))&lt;$D$6/OPDAYS_Cls3),86,payback(D44,U44,disc_rate/12,85))</f>
        <v>2</v>
      </c>
      <c r="AA44" s="280" cm="1">
        <f t="array" ref="AA44">IF(AND(AA$22=TRUE,INDEX(CDRANGE_CLS3,MATCH($A44,$A$24:$A$67,0),MATCH(AA$20,$B$20:$G$20,0))&lt;$D$6/OPDAYS_Cls3),86,payback(E44,V44,disc_rate/12,85))</f>
        <v>86</v>
      </c>
      <c r="AB44" s="280" cm="1">
        <f t="array" aca="1" ref="AB44" ca="1">IF(AND(AB$22=TRUE,INDEX(CDRANGE_CLS3,MATCH($A44,$A$24:$A$67,0),MATCH(AB$20,$B$20:$G$20,0))&lt;$D$6/OPDAYS_Cls3),86,payback(F44,W44,disc_rate/12,85))</f>
        <v>86</v>
      </c>
      <c r="AC44" s="281" cm="1">
        <f t="array" aca="1" ref="AC44" ca="1">IF(AND(AC$22=TRUE,INDEX(CDRANGE_CLS3,MATCH($A44,$A$24:$A$67,0),MATCH(AC$20,$B$20:$G$20,0))&lt;$D$6/OPDAYS_Cls3),86,payback(G44,X44,disc_rate/12,85))</f>
        <v>86</v>
      </c>
      <c r="AD44" s="296">
        <f t="shared" si="35"/>
        <v>0</v>
      </c>
      <c r="AE44" s="297">
        <f t="shared" si="36"/>
        <v>0</v>
      </c>
      <c r="AF44" s="297">
        <f t="shared" si="37"/>
        <v>0</v>
      </c>
      <c r="AG44" s="297">
        <f t="shared" si="38"/>
        <v>0</v>
      </c>
      <c r="AH44" s="298">
        <f t="shared" si="39"/>
        <v>0</v>
      </c>
      <c r="AI44" s="595" cm="1">
        <f t="array" ref="AI44">IF($A44&lt;AI$23,0,AI$21+VLOOKUP($A44-AI$23,SCdata,2,1)*(AI$22-AI$21))*IF($D$5="Non-Central",INDEX(fuel_avail,$A44-$A$24+1,MATCH(O$21,Fuels,0)),1)</f>
        <v>5.9601461011058773E-2</v>
      </c>
      <c r="AJ44" s="300" cm="1">
        <f t="array" ref="AJ44">IF($A44&lt;AJ$23,0,AJ$21+VLOOKUP($A44-AJ$23,SCdata,2,1)*(AJ$22-AJ$21))*IF($D$5="Non-Central",INDEX(fuel_avail,$A44-$A$24+1,MATCH(P$21,Fuels,0)),1)</f>
        <v>5.9601461011058773E-2</v>
      </c>
      <c r="AK44" s="300" cm="1">
        <f t="array" ref="AK44">IF($A44&lt;AK$23,0,AK$21+VLOOKUP($A44-AK$23,SCdata,2,1)*(AK$22-AK$21))*IF($D$5="Non-Central",INDEX(fuel_avail,$A44-$A$24+1,MATCH(Q$21,Fuels,0)),1)</f>
        <v>5.9601461011058773E-2</v>
      </c>
      <c r="AL44" s="300" cm="1">
        <f t="array" ref="AL44">IF($A44&lt;AL$23,0,AL$21+VLOOKUP($A44-AL$23,SCdata,2,1)*(AL$22-AL$21))*IF($D$5="Non-Central",INDEX(fuel_avail,$A44-$A$24+1,MATCH(R$21,Fuels,0)),1)</f>
        <v>5.9601461011058773E-2</v>
      </c>
      <c r="AM44" s="598" cm="1">
        <f t="array" ref="AM44">IF($A44&lt;AM$23,0,AM$21+VLOOKUP($A44-AM$23,SCdata,2,1)*(AM$22-AM$21))*IF($D$5="Non-Central",INDEX(fuel_avail,$A44-$A$24+1,MATCH(S$21,Fuels,0)),1)</f>
        <v>0</v>
      </c>
      <c r="AN44" s="299">
        <f t="shared" si="52"/>
        <v>0.99998601764027395</v>
      </c>
      <c r="AO44" s="300">
        <f t="shared" si="52"/>
        <v>0.98873803919750813</v>
      </c>
      <c r="AP44" s="300">
        <f t="shared" si="52"/>
        <v>9.012806168051668E-7</v>
      </c>
      <c r="AQ44" s="300">
        <f t="shared" si="52"/>
        <v>0.16171057954916357</v>
      </c>
      <c r="AR44" s="598">
        <f t="shared" si="52"/>
        <v>0</v>
      </c>
      <c r="AS44" s="296">
        <f t="shared" ca="1" si="41"/>
        <v>0.11920292202211755</v>
      </c>
      <c r="AT44" s="297">
        <f t="shared" ca="1" si="42"/>
        <v>0.11920292202211755</v>
      </c>
      <c r="AU44" s="297">
        <f t="shared" si="43"/>
        <v>0</v>
      </c>
      <c r="AV44" s="297">
        <f t="shared" ca="1" si="44"/>
        <v>0</v>
      </c>
      <c r="AW44" s="298">
        <f t="shared" ca="1" si="45"/>
        <v>0</v>
      </c>
      <c r="AX44" s="296">
        <f t="shared" ca="1" si="46"/>
        <v>0.11920125528398144</v>
      </c>
      <c r="AY44" s="297">
        <f t="shared" ca="1" si="46"/>
        <v>0.11786046338676197</v>
      </c>
      <c r="AZ44" s="297">
        <f t="shared" si="46"/>
        <v>0</v>
      </c>
      <c r="BA44" s="297">
        <f t="shared" ca="1" si="46"/>
        <v>0</v>
      </c>
      <c r="BB44" s="298">
        <f t="shared" ca="1" si="46"/>
        <v>0</v>
      </c>
      <c r="BC44" s="296">
        <f t="shared" ca="1" si="53"/>
        <v>0.8807987447160186</v>
      </c>
      <c r="BD44" s="297">
        <f t="shared" ca="1" si="47"/>
        <v>5.9937721454773565E-2</v>
      </c>
      <c r="BE44" s="297">
        <f t="shared" ca="1" si="48"/>
        <v>5.9263533829207869E-2</v>
      </c>
      <c r="BF44" s="297">
        <f t="shared" ca="1" si="49"/>
        <v>0</v>
      </c>
      <c r="BG44" s="297">
        <f t="shared" ca="1" si="50"/>
        <v>0</v>
      </c>
      <c r="BH44" s="298">
        <f t="shared" ca="1" si="51"/>
        <v>0</v>
      </c>
    </row>
    <row r="45" spans="1:62" x14ac:dyDescent="0.2">
      <c r="A45" s="317">
        <v>2028</v>
      </c>
      <c r="B45" s="820" cm="1">
        <f t="array" ref="B45">ROUND(INDEX(COST_Cls3,$A45-($A$24-1),MATCH(B$20,TECHOPTS_Cls3,0)),2)</f>
        <v>83037.850000000006</v>
      </c>
      <c r="C45" s="821" cm="1">
        <f t="array" ref="C45">ROUND(INDEX(COST_Cls3,$A45-($A$24-1),MATCH(C$20,TECHOPTS_Cls3,0)),2)</f>
        <v>926.21</v>
      </c>
      <c r="D45" s="821" cm="1">
        <f t="array" ref="D45">ROUND(INDEX(COST_Cls3,$A45-($A$24-1),MATCH(D$20,TECHOPTS_Cls3,0)),2)</f>
        <v>5602.59</v>
      </c>
      <c r="E45" s="821" cm="1">
        <f t="array" ref="E45">ROUND(INDEX(COST_Cls3,$A45-($A$24-1),MATCH(E$20,TECHOPTS_Cls3,0)),2)</f>
        <v>153399.54999999999</v>
      </c>
      <c r="F45" s="821" cm="1">
        <f t="array" ref="F45">ROUND(INDEX(COST_Cls3,$A45-($A$24-1),MATCH(F$20,TECHOPTS_Cls3,0)),2)</f>
        <v>62164.65</v>
      </c>
      <c r="G45" s="822" cm="1">
        <f t="array" ref="G45">ROUND(INDEX(COST_Cls3,$A45-($A$24-1),MATCH(G$20,TECHOPTS_Cls3,0)),2)</f>
        <v>1000000</v>
      </c>
      <c r="H45" s="781" cm="1">
        <f t="array" ref="H45">IF(H$21="Single-fuel",1,1-MIN(INDEX(CDRANGE_CLS3,$A45-($A$24-1),MATCH(H$20,TECHOPTS_Cls3,0))*OPDAYS_Cls3/$D$6,1))</f>
        <v>1</v>
      </c>
      <c r="I45" s="782" cm="1">
        <f t="array" ref="I45">IF(I$21="Single-fuel",1,1-MIN(INDEX(CDRANGE_CLS3,$A45-($A$24-1),MATCH(I$20,TECHOPTS_Cls3,0))*OPDAYS_Cls3/$D$6,1))</f>
        <v>1</v>
      </c>
      <c r="J45" s="782" cm="1">
        <f t="array" ref="J45">IF(J$21="Single-fuel",1,1-MIN(INDEX(CDRANGE_CLS3,$A45-($A$24-1),MATCH(J$20,TECHOPTS_Cls3,0))*OPDAYS_Cls3/$D$6,1))</f>
        <v>1</v>
      </c>
      <c r="K45" s="782" cm="1">
        <f t="array" ref="K45">IF(K$21="Single-fuel",1,1-MIN(INDEX(CDRANGE_CLS3,$A45-($A$24-1),MATCH(K$20,TECHOPTS_Cls3,0))*OPDAYS_Cls3/$D$6,1))</f>
        <v>1</v>
      </c>
      <c r="L45" s="782" cm="1">
        <f t="array" ref="L45">IF(L$21="Single-fuel",1,1-MIN(INDEX(CDRANGE_CLS3,$A45-($A$24-1),MATCH(L$20,TECHOPTS_Cls3,0))*OPDAYS_Cls3/$D$6,1))</f>
        <v>1</v>
      </c>
      <c r="M45" s="783" cm="1">
        <f t="array" ref="M45">IF(M$21="Single-fuel",1,1-MIN(INDEX(CDRANGE_CLS3,$A45-($A$24-1),MATCH(M$20,TECHOPTS_Cls3,0))*OPDAYS_Cls3/$D$6,1))</f>
        <v>1</v>
      </c>
      <c r="N45" s="733" cm="1">
        <f t="array" ref="N45">VLOOKUP($A45,IF($D$5="Central",FuelPriceCent,FuelPriceNCent),MATCH(N$21,FuelPriceCols,0),0)*(H45*$D$6)/(12*INDEX(FUEL1MPG_Cls3,$A45-($A$24-1),MATCH(N$20,TECHOPTS_Cls3,0)))+IFERROR(VLOOKUP($A45,IF($D$5="Central",FuelPriceCent,FuelPriceNCent),MATCH(INDEX($G$11:$G$16,MATCH(N$20,$B$11:$B$16,0)),FuelPriceCols,0),0),0)*((1-H45)*$D$6)/(12*INDEX(FUEL2MPG_Cls3,$A45-($A$24-1),MATCH(N$20,TECHOPTS_Cls3,0)))</f>
        <v>8258.6904763089751</v>
      </c>
      <c r="O45" s="276" cm="1">
        <f t="array" ref="O45">VLOOKUP($A45,IF($D$5="Central",FuelPriceCent,FuelPriceNCent),MATCH(O$21,FuelPriceCols,0),0)*(I45*$D$6)/(12*INDEX(FUEL1MPG_Cls3,$A45-($A$24-1),MATCH(O$20,TECHOPTS_Cls3,0)))+IFERROR(VLOOKUP($A45,IF($D$5="Central",FuelPriceCent,FuelPriceNCent),MATCH(INDEX($G$11:$G$16,MATCH(O$20,$B$11:$B$16,0)),FuelPriceCols,0),0),0)*((1-I45)*$D$6)/(12*INDEX(FUEL2MPG_Cls3,$A45-($A$24-1),MATCH(O$20,TECHOPTS_Cls3,0)))</f>
        <v>7923.5024141896765</v>
      </c>
      <c r="P45" s="276" cm="1">
        <f t="array" ref="P45">VLOOKUP($A45,IF($D$5="Central",FuelPriceCent,FuelPriceNCent),MATCH(P$21,FuelPriceCols,0),0)*(J45*$D$6)/(12*INDEX(FUEL1MPG_Cls3,$A45-($A$24-1),MATCH(P$20,TECHOPTS_Cls3,0)))+IFERROR(VLOOKUP($A45,IF($D$5="Central",FuelPriceCent,FuelPriceNCent),MATCH(INDEX($G$11:$G$16,MATCH(P$20,$B$11:$B$16,0)),FuelPriceCols,0),0),0)*((1-J45)*$D$6)/(12*INDEX(FUEL2MPG_Cls3,$A45-($A$24-1),MATCH(P$20,TECHOPTS_Cls3,0)))</f>
        <v>5354.0182174620095</v>
      </c>
      <c r="Q45" s="276" cm="1">
        <f t="array" ref="Q45">VLOOKUP($A45,IF($D$5="Central",FuelPriceCent,FuelPriceNCent),MATCH(Q$21,FuelPriceCols,0),0)*(K45*$D$6)/(12*INDEX(FUEL1MPG_Cls3,$A45-($A$24-1),MATCH(Q$20,TECHOPTS_Cls3,0)))+IFERROR(VLOOKUP($A45,IF($D$5="Central",FuelPriceCent,FuelPriceNCent),MATCH(INDEX($G$11:$G$16,MATCH(Q$20,$B$11:$B$16,0)),FuelPriceCols,0),0),0)*((1-K45)*$D$6)/(12*INDEX(FUEL2MPG_Cls3,$A45-($A$24-1),MATCH(Q$20,TECHOPTS_Cls3,0)))</f>
        <v>7037.6794256753519</v>
      </c>
      <c r="R45" s="276" cm="1">
        <f t="array" ref="R45">VLOOKUP($A45,IF($D$5="Central",FuelPriceCent,FuelPriceNCent),MATCH(R$21,FuelPriceCols,0),0)*(L45*$D$6)/(12*INDEX(FUEL1MPG_Cls3,$A45-($A$24-1),MATCH(R$20,TECHOPTS_Cls3,0)))+IFERROR(VLOOKUP($A45,IF($D$5="Central",FuelPriceCent,FuelPriceNCent),MATCH(INDEX($G$11:$G$16,MATCH(R$20,$B$11:$B$16,0)),FuelPriceCols,0),0),0)*((1-L45)*$D$6)/(12*INDEX(FUEL2MPG_Cls3,$A45-($A$24-1),MATCH(R$20,TECHOPTS_Cls3,0)))</f>
        <v>7195.9932693769169</v>
      </c>
      <c r="S45" s="278" cm="1">
        <f t="array" ref="S45">VLOOKUP($A45,IF($D$5="Central",FuelPriceCent,FuelPriceNCent),MATCH(S$21,FuelPriceCols,0),0)*(M45*$D$6)/(12*INDEX(FUEL1MPG_Cls3,$A45-($A$24-1),MATCH(S$20,TECHOPTS_Cls3,0)))+IFERROR(VLOOKUP($A45,IF($D$5="Central",FuelPriceCent,FuelPriceNCent),MATCH(INDEX($G$11:$G$16,MATCH(S$20,$B$11:$B$16,0)),FuelPriceCols,0),0),0)*((1-M45)*$D$6)/(12*INDEX(FUEL2MPG_Cls3,$A45-($A$24-1),MATCH(S$20,TECHOPTS_Cls3,0)))</f>
        <v>60506.723790000011</v>
      </c>
      <c r="T45" s="734">
        <f t="shared" si="30"/>
        <v>335.18806211929859</v>
      </c>
      <c r="U45" s="290">
        <f t="shared" si="31"/>
        <v>2904.6722588469656</v>
      </c>
      <c r="V45" s="290">
        <f t="shared" si="32"/>
        <v>1221.0110506336232</v>
      </c>
      <c r="W45" s="290">
        <f t="shared" si="33"/>
        <v>1062.6972069320582</v>
      </c>
      <c r="X45" s="291">
        <f t="shared" si="34"/>
        <v>-52248.033313691034</v>
      </c>
      <c r="Y45" s="279" cm="1">
        <f t="array" aca="1" ref="Y45" ca="1">IF(AND(Y$22=TRUE,INDEX(CDRANGE_CLS3,MATCH($A45,$A$24:$A$67,0),MATCH(Y$20,$B$20:$G$20,0))&lt;$D$6/OPDAYS_Cls3),86,payback(C45,T45,disc_rate/12,85))</f>
        <v>3</v>
      </c>
      <c r="Z45" s="280" cm="1">
        <f t="array" aca="1" ref="Z45" ca="1">IF(AND(Z$22=TRUE,INDEX(CDRANGE_CLS3,MATCH($A45,$A$24:$A$67,0),MATCH(Z$20,$B$20:$G$20,0))&lt;$D$6/OPDAYS_Cls3),86,payback(D45,U45,disc_rate/12,85))</f>
        <v>2</v>
      </c>
      <c r="AA45" s="280" cm="1">
        <f t="array" ref="AA45">IF(AND(AA$22=TRUE,INDEX(CDRANGE_CLS3,MATCH($A45,$A$24:$A$67,0),MATCH(AA$20,$B$20:$G$20,0))&lt;$D$6/OPDAYS_Cls3),86,payback(E45,V45,disc_rate/12,85))</f>
        <v>86</v>
      </c>
      <c r="AB45" s="280" cm="1">
        <f t="array" aca="1" ref="AB45" ca="1">IF(AND(AB$22=TRUE,INDEX(CDRANGE_CLS3,MATCH($A45,$A$24:$A$67,0),MATCH(AB$20,$B$20:$G$20,0))&lt;$D$6/OPDAYS_Cls3),86,payback(F45,W45,disc_rate/12,85))</f>
        <v>74</v>
      </c>
      <c r="AC45" s="281" cm="1">
        <f t="array" aca="1" ref="AC45" ca="1">IF(AND(AC$22=TRUE,INDEX(CDRANGE_CLS3,MATCH($A45,$A$24:$A$67,0),MATCH(AC$20,$B$20:$G$20,0))&lt;$D$6/OPDAYS_Cls3),86,payback(G45,X45,disc_rate/12,85))</f>
        <v>86</v>
      </c>
      <c r="AD45" s="296">
        <f t="shared" si="35"/>
        <v>0</v>
      </c>
      <c r="AE45" s="297">
        <f t="shared" si="36"/>
        <v>0</v>
      </c>
      <c r="AF45" s="297">
        <f t="shared" si="37"/>
        <v>0</v>
      </c>
      <c r="AG45" s="297">
        <f t="shared" si="38"/>
        <v>0</v>
      </c>
      <c r="AH45" s="298">
        <f t="shared" si="39"/>
        <v>0</v>
      </c>
      <c r="AI45" s="595" cm="1">
        <f t="array" ref="AI45">IF($A45&lt;AI$23,0,AI$21+VLOOKUP($A45-AI$23,SCdata,2,1)*(AI$22-AI$21))*IF($D$5="Non-Central",INDEX(fuel_avail,$A45-$A$24+1,MATCH(O$21,Fuels,0)),1)</f>
        <v>0.13447071068499755</v>
      </c>
      <c r="AJ45" s="300" cm="1">
        <f t="array" ref="AJ45">IF($A45&lt;AJ$23,0,AJ$21+VLOOKUP($A45-AJ$23,SCdata,2,1)*(AJ$22-AJ$21))*IF($D$5="Non-Central",INDEX(fuel_avail,$A45-$A$24+1,MATCH(P$21,Fuels,0)),1)</f>
        <v>0.13447071068499755</v>
      </c>
      <c r="AK45" s="300" cm="1">
        <f t="array" ref="AK45">IF($A45&lt;AK$23,0,AK$21+VLOOKUP($A45-AK$23,SCdata,2,1)*(AK$22-AK$21))*IF($D$5="Non-Central",INDEX(fuel_avail,$A45-$A$24+1,MATCH(Q$21,Fuels,0)),1)</f>
        <v>0.13447071068499755</v>
      </c>
      <c r="AL45" s="300" cm="1">
        <f t="array" ref="AL45">IF($A45&lt;AL$23,0,AL$21+VLOOKUP($A45-AL$23,SCdata,2,1)*(AL$22-AL$21))*IF($D$5="Non-Central",INDEX(fuel_avail,$A45-$A$24+1,MATCH(R$21,Fuels,0)),1)</f>
        <v>0.13447071068499755</v>
      </c>
      <c r="AM45" s="598" cm="1">
        <f t="array" ref="AM45">IF($A45&lt;AM$23,0,AM$21+VLOOKUP($A45-AM$23,SCdata,2,1)*(AM$22-AM$21))*IF($D$5="Non-Central",INDEX(fuel_avail,$A45-$A$24+1,MATCH(S$21,Fuels,0)),1)</f>
        <v>0</v>
      </c>
      <c r="AN45" s="299">
        <f t="shared" si="52"/>
        <v>0.99965446726620355</v>
      </c>
      <c r="AO45" s="300">
        <f t="shared" si="52"/>
        <v>0.98743449257481941</v>
      </c>
      <c r="AP45" s="300">
        <f t="shared" si="52"/>
        <v>7.6388709136288035E-5</v>
      </c>
      <c r="AQ45" s="300">
        <f t="shared" si="52"/>
        <v>0.21080998419052033</v>
      </c>
      <c r="AR45" s="598">
        <f t="shared" si="52"/>
        <v>0</v>
      </c>
      <c r="AS45" s="296">
        <f t="shared" ca="1" si="41"/>
        <v>0.2689414213699951</v>
      </c>
      <c r="AT45" s="297">
        <f t="shared" ca="1" si="42"/>
        <v>0.2689414213699951</v>
      </c>
      <c r="AU45" s="297">
        <f t="shared" si="43"/>
        <v>0</v>
      </c>
      <c r="AV45" s="297">
        <f t="shared" ca="1" si="44"/>
        <v>3.9699628009602774E-4</v>
      </c>
      <c r="AW45" s="298">
        <f t="shared" ca="1" si="45"/>
        <v>0</v>
      </c>
      <c r="AX45" s="296">
        <f t="shared" ca="1" si="46"/>
        <v>0.26884849330543803</v>
      </c>
      <c r="AY45" s="297">
        <f t="shared" ca="1" si="46"/>
        <v>0.26556203594283179</v>
      </c>
      <c r="AZ45" s="297">
        <f t="shared" si="46"/>
        <v>0</v>
      </c>
      <c r="BA45" s="297">
        <f t="shared" ca="1" si="46"/>
        <v>8.3690779530738984E-5</v>
      </c>
      <c r="BB45" s="298">
        <f t="shared" ca="1" si="46"/>
        <v>0</v>
      </c>
      <c r="BC45" s="296">
        <f t="shared" ca="1" si="53"/>
        <v>0.73115150669456197</v>
      </c>
      <c r="BD45" s="297">
        <f t="shared" ca="1" si="47"/>
        <v>0.13522973615850267</v>
      </c>
      <c r="BE45" s="297">
        <f t="shared" ca="1" si="48"/>
        <v>0.1335766610135492</v>
      </c>
      <c r="BF45" s="297">
        <f t="shared" ca="1" si="49"/>
        <v>0</v>
      </c>
      <c r="BG45" s="297">
        <f t="shared" ca="1" si="50"/>
        <v>4.2096133386113086E-5</v>
      </c>
      <c r="BH45" s="298">
        <f t="shared" ca="1" si="51"/>
        <v>0</v>
      </c>
    </row>
    <row r="46" spans="1:62" x14ac:dyDescent="0.2">
      <c r="A46" s="317">
        <v>2029</v>
      </c>
      <c r="B46" s="820" cm="1">
        <f t="array" ref="B46">ROUND(INDEX(COST_Cls3,$A46-($A$24-1),MATCH(B$20,TECHOPTS_Cls3,0)),2)</f>
        <v>83446.39</v>
      </c>
      <c r="C46" s="821" cm="1">
        <f t="array" ref="C46">ROUND(INDEX(COST_Cls3,$A46-($A$24-1),MATCH(C$20,TECHOPTS_Cls3,0)),2)</f>
        <v>1328.28</v>
      </c>
      <c r="D46" s="821" cm="1">
        <f t="array" ref="D46">ROUND(INDEX(COST_Cls3,$A46-($A$24-1),MATCH(D$20,TECHOPTS_Cls3,0)),2)</f>
        <v>5772.97</v>
      </c>
      <c r="E46" s="821" cm="1">
        <f t="array" ref="E46">ROUND(INDEX(COST_Cls3,$A46-($A$24-1),MATCH(E$20,TECHOPTS_Cls3,0)),2)</f>
        <v>136015.31</v>
      </c>
      <c r="F46" s="821" cm="1">
        <f t="array" ref="F46">ROUND(INDEX(COST_Cls3,$A46-($A$24-1),MATCH(F$20,TECHOPTS_Cls3,0)),2)</f>
        <v>59495.38</v>
      </c>
      <c r="G46" s="822" cm="1">
        <f t="array" ref="G46">ROUND(INDEX(COST_Cls3,$A46-($A$24-1),MATCH(G$20,TECHOPTS_Cls3,0)),2)</f>
        <v>1000000</v>
      </c>
      <c r="H46" s="781" cm="1">
        <f t="array" ref="H46">IF(H$21="Single-fuel",1,1-MIN(INDEX(CDRANGE_CLS3,$A46-($A$24-1),MATCH(H$20,TECHOPTS_Cls3,0))*OPDAYS_Cls3/$D$6,1))</f>
        <v>1</v>
      </c>
      <c r="I46" s="782" cm="1">
        <f t="array" ref="I46">IF(I$21="Single-fuel",1,1-MIN(INDEX(CDRANGE_CLS3,$A46-($A$24-1),MATCH(I$20,TECHOPTS_Cls3,0))*OPDAYS_Cls3/$D$6,1))</f>
        <v>1</v>
      </c>
      <c r="J46" s="782" cm="1">
        <f t="array" ref="J46">IF(J$21="Single-fuel",1,1-MIN(INDEX(CDRANGE_CLS3,$A46-($A$24-1),MATCH(J$20,TECHOPTS_Cls3,0))*OPDAYS_Cls3/$D$6,1))</f>
        <v>1</v>
      </c>
      <c r="K46" s="782" cm="1">
        <f t="array" ref="K46">IF(K$21="Single-fuel",1,1-MIN(INDEX(CDRANGE_CLS3,$A46-($A$24-1),MATCH(K$20,TECHOPTS_Cls3,0))*OPDAYS_Cls3/$D$6,1))</f>
        <v>1</v>
      </c>
      <c r="L46" s="782" cm="1">
        <f t="array" ref="L46">IF(L$21="Single-fuel",1,1-MIN(INDEX(CDRANGE_CLS3,$A46-($A$24-1),MATCH(L$20,TECHOPTS_Cls3,0))*OPDAYS_Cls3/$D$6,1))</f>
        <v>1</v>
      </c>
      <c r="M46" s="783" cm="1">
        <f t="array" ref="M46">IF(M$21="Single-fuel",1,1-MIN(INDEX(CDRANGE_CLS3,$A46-($A$24-1),MATCH(M$20,TECHOPTS_Cls3,0))*OPDAYS_Cls3/$D$6,1))</f>
        <v>1</v>
      </c>
      <c r="N46" s="733" cm="1">
        <f t="array" ref="N46">VLOOKUP($A46,IF($D$5="Central",FuelPriceCent,FuelPriceNCent),MATCH(N$21,FuelPriceCols,0),0)*(H46*$D$6)/(12*INDEX(FUEL1MPG_Cls3,$A46-($A$24-1),MATCH(N$20,TECHOPTS_Cls3,0)))+IFERROR(VLOOKUP($A46,IF($D$5="Central",FuelPriceCent,FuelPriceNCent),MATCH(INDEX($G$11:$G$16,MATCH(N$20,$B$11:$B$16,0)),FuelPriceCols,0),0),0)*((1-H46)*$D$6)/(12*INDEX(FUEL2MPG_Cls3,$A46-($A$24-1),MATCH(N$20,TECHOPTS_Cls3,0)))</f>
        <v>8138.2556749353671</v>
      </c>
      <c r="O46" s="276" cm="1">
        <f t="array" ref="O46">VLOOKUP($A46,IF($D$5="Central",FuelPriceCent,FuelPriceNCent),MATCH(O$21,FuelPriceCols,0),0)*(I46*$D$6)/(12*INDEX(FUEL1MPG_Cls3,$A46-($A$24-1),MATCH(O$20,TECHOPTS_Cls3,0)))+IFERROR(VLOOKUP($A46,IF($D$5="Central",FuelPriceCent,FuelPriceNCent),MATCH(INDEX($G$11:$G$16,MATCH(O$20,$B$11:$B$16,0)),FuelPriceCols,0),0),0)*((1-I46)*$D$6)/(12*INDEX(FUEL2MPG_Cls3,$A46-($A$24-1),MATCH(O$20,TECHOPTS_Cls3,0)))</f>
        <v>7888.6908969719134</v>
      </c>
      <c r="P46" s="276" cm="1">
        <f t="array" ref="P46">VLOOKUP($A46,IF($D$5="Central",FuelPriceCent,FuelPriceNCent),MATCH(P$21,FuelPriceCols,0),0)*(J46*$D$6)/(12*INDEX(FUEL1MPG_Cls3,$A46-($A$24-1),MATCH(P$20,TECHOPTS_Cls3,0)))+IFERROR(VLOOKUP($A46,IF($D$5="Central",FuelPriceCent,FuelPriceNCent),MATCH(INDEX($G$11:$G$16,MATCH(P$20,$B$11:$B$16,0)),FuelPriceCols,0),0),0)*((1-J46)*$D$6)/(12*INDEX(FUEL2MPG_Cls3,$A46-($A$24-1),MATCH(P$20,TECHOPTS_Cls3,0)))</f>
        <v>5281.6672473554991</v>
      </c>
      <c r="Q46" s="276" cm="1">
        <f t="array" ref="Q46">VLOOKUP($A46,IF($D$5="Central",FuelPriceCent,FuelPriceNCent),MATCH(Q$21,FuelPriceCols,0),0)*(K46*$D$6)/(12*INDEX(FUEL1MPG_Cls3,$A46-($A$24-1),MATCH(Q$20,TECHOPTS_Cls3,0)))+IFERROR(VLOOKUP($A46,IF($D$5="Central",FuelPriceCent,FuelPriceNCent),MATCH(INDEX($G$11:$G$16,MATCH(Q$20,$B$11:$B$16,0)),FuelPriceCols,0),0),0)*((1-K46)*$D$6)/(12*INDEX(FUEL2MPG_Cls3,$A46-($A$24-1),MATCH(Q$20,TECHOPTS_Cls3,0)))</f>
        <v>6870.9570858919215</v>
      </c>
      <c r="R46" s="276" cm="1">
        <f t="array" ref="R46">VLOOKUP($A46,IF($D$5="Central",FuelPriceCent,FuelPriceNCent),MATCH(R$21,FuelPriceCols,0),0)*(L46*$D$6)/(12*INDEX(FUEL1MPG_Cls3,$A46-($A$24-1),MATCH(R$20,TECHOPTS_Cls3,0)))+IFERROR(VLOOKUP($A46,IF($D$5="Central",FuelPriceCent,FuelPriceNCent),MATCH(INDEX($G$11:$G$16,MATCH(R$20,$B$11:$B$16,0)),FuelPriceCols,0),0),0)*((1-L46)*$D$6)/(12*INDEX(FUEL2MPG_Cls3,$A46-($A$24-1),MATCH(R$20,TECHOPTS_Cls3,0)))</f>
        <v>6932.2619645879358</v>
      </c>
      <c r="S46" s="278" cm="1">
        <f t="array" ref="S46">VLOOKUP($A46,IF($D$5="Central",FuelPriceCent,FuelPriceNCent),MATCH(S$21,FuelPriceCols,0),0)*(M46*$D$6)/(12*INDEX(FUEL1MPG_Cls3,$A46-($A$24-1),MATCH(S$20,TECHOPTS_Cls3,0)))+IFERROR(VLOOKUP($A46,IF($D$5="Central",FuelPriceCent,FuelPriceNCent),MATCH(INDEX($G$11:$G$16,MATCH(S$20,$B$11:$B$16,0)),FuelPriceCols,0),0),0)*((1-M46)*$D$6)/(12*INDEX(FUEL2MPG_Cls3,$A46-($A$24-1),MATCH(S$20,TECHOPTS_Cls3,0)))</f>
        <v>61071.285669375007</v>
      </c>
      <c r="T46" s="734">
        <f t="shared" si="30"/>
        <v>249.56477796345371</v>
      </c>
      <c r="U46" s="290">
        <f t="shared" si="31"/>
        <v>2856.588427579868</v>
      </c>
      <c r="V46" s="290">
        <f t="shared" si="32"/>
        <v>1267.2985890434456</v>
      </c>
      <c r="W46" s="290">
        <f t="shared" si="33"/>
        <v>1205.9937103474313</v>
      </c>
      <c r="X46" s="291">
        <f t="shared" si="34"/>
        <v>-52933.029994439639</v>
      </c>
      <c r="Y46" s="279" cm="1">
        <f t="array" aca="1" ref="Y46" ca="1">IF(AND(Y$22=TRUE,INDEX(CDRANGE_CLS3,MATCH($A46,$A$24:$A$67,0),MATCH(Y$20,$B$20:$G$20,0))&lt;$D$6/OPDAYS_Cls3),86,payback(C46,T46,disc_rate/12,85))</f>
        <v>6</v>
      </c>
      <c r="Z46" s="280" cm="1">
        <f t="array" aca="1" ref="Z46" ca="1">IF(AND(Z$22=TRUE,INDEX(CDRANGE_CLS3,MATCH($A46,$A$24:$A$67,0),MATCH(Z$20,$B$20:$G$20,0))&lt;$D$6/OPDAYS_Cls3),86,payback(D46,U46,disc_rate/12,85))</f>
        <v>3</v>
      </c>
      <c r="AA46" s="280" cm="1">
        <f t="array" ref="AA46">IF(AND(AA$22=TRUE,INDEX(CDRANGE_CLS3,MATCH($A46,$A$24:$A$67,0),MATCH(AA$20,$B$20:$G$20,0))&lt;$D$6/OPDAYS_Cls3),86,payback(E46,V46,disc_rate/12,85))</f>
        <v>86</v>
      </c>
      <c r="AB46" s="280" cm="1">
        <f t="array" aca="1" ref="AB46" ca="1">IF(AND(AB$22=TRUE,INDEX(CDRANGE_CLS3,MATCH($A46,$A$24:$A$67,0),MATCH(AB$20,$B$20:$G$20,0))&lt;$D$6/OPDAYS_Cls3),86,payback(F46,W46,disc_rate/12,85))</f>
        <v>60</v>
      </c>
      <c r="AC46" s="281" cm="1">
        <f t="array" aca="1" ref="AC46" ca="1">IF(AND(AC$22=TRUE,INDEX(CDRANGE_CLS3,MATCH($A46,$A$24:$A$67,0),MATCH(AC$20,$B$20:$G$20,0))&lt;$D$6/OPDAYS_Cls3),86,payback(G46,X46,disc_rate/12,85))</f>
        <v>86</v>
      </c>
      <c r="AD46" s="296">
        <f t="shared" si="35"/>
        <v>0</v>
      </c>
      <c r="AE46" s="297">
        <f t="shared" si="36"/>
        <v>0</v>
      </c>
      <c r="AF46" s="297">
        <f t="shared" si="37"/>
        <v>0</v>
      </c>
      <c r="AG46" s="297">
        <f t="shared" si="38"/>
        <v>0</v>
      </c>
      <c r="AH46" s="298">
        <f t="shared" si="39"/>
        <v>0</v>
      </c>
      <c r="AI46" s="595" cm="1">
        <f t="array" ref="AI46">IF($A46&lt;AI$23,0,AI$21+VLOOKUP($A46-AI$23,SCdata,2,1)*(AI$22-AI$21))*IF($D$5="Non-Central",INDEX(fuel_avail,$A46-$A$24+1,MATCH(O$21,Fuels,0)),1)</f>
        <v>0.25</v>
      </c>
      <c r="AJ46" s="300" cm="1">
        <f t="array" ref="AJ46">IF($A46&lt;AJ$23,0,AJ$21+VLOOKUP($A46-AJ$23,SCdata,2,1)*(AJ$22-AJ$21))*IF($D$5="Non-Central",INDEX(fuel_avail,$A46-$A$24+1,MATCH(P$21,Fuels,0)),1)</f>
        <v>0.25</v>
      </c>
      <c r="AK46" s="300" cm="1">
        <f t="array" ref="AK46">IF($A46&lt;AK$23,0,AK$21+VLOOKUP($A46-AK$23,SCdata,2,1)*(AK$22-AK$21))*IF($D$5="Non-Central",INDEX(fuel_avail,$A46-$A$24+1,MATCH(Q$21,Fuels,0)),1)</f>
        <v>0.25</v>
      </c>
      <c r="AL46" s="300" cm="1">
        <f t="array" ref="AL46">IF($A46&lt;AL$23,0,AL$21+VLOOKUP($A46-AL$23,SCdata,2,1)*(AL$22-AL$21))*IF($D$5="Non-Central",INDEX(fuel_avail,$A46-$A$24+1,MATCH(R$21,Fuels,0)),1)</f>
        <v>0.25</v>
      </c>
      <c r="AM46" s="598" cm="1">
        <f t="array" ref="AM46">IF($A46&lt;AM$23,0,AM$21+VLOOKUP($A46-AM$23,SCdata,2,1)*(AM$22-AM$21))*IF($D$5="Non-Central",INDEX(fuel_avail,$A46-$A$24+1,MATCH(S$21,Fuels,0)),1)</f>
        <v>0</v>
      </c>
      <c r="AN46" s="299">
        <f t="shared" si="52"/>
        <v>0.99929642753262127</v>
      </c>
      <c r="AO46" s="300">
        <f t="shared" si="52"/>
        <v>0.98679321010869125</v>
      </c>
      <c r="AP46" s="300">
        <f t="shared" si="52"/>
        <v>6.235836956649532E-4</v>
      </c>
      <c r="AQ46" s="300">
        <f t="shared" si="52"/>
        <v>0.24364425030976566</v>
      </c>
      <c r="AR46" s="598">
        <f t="shared" si="52"/>
        <v>0</v>
      </c>
      <c r="AS46" s="296">
        <f t="shared" ca="1" si="41"/>
        <v>0.5</v>
      </c>
      <c r="AT46" s="297">
        <f t="shared" ca="1" si="42"/>
        <v>0.5</v>
      </c>
      <c r="AU46" s="297">
        <f t="shared" si="43"/>
        <v>0</v>
      </c>
      <c r="AV46" s="297">
        <f t="shared" ca="1" si="44"/>
        <v>6.7534292222825587E-3</v>
      </c>
      <c r="AW46" s="298">
        <f t="shared" ca="1" si="45"/>
        <v>0</v>
      </c>
      <c r="AX46" s="296">
        <f t="shared" ca="1" si="46"/>
        <v>0.49964821376631063</v>
      </c>
      <c r="AY46" s="297">
        <f t="shared" ca="1" si="46"/>
        <v>0.49339660505434563</v>
      </c>
      <c r="AZ46" s="297">
        <f t="shared" si="46"/>
        <v>0</v>
      </c>
      <c r="BA46" s="297">
        <f t="shared" ca="1" si="46"/>
        <v>1.6454341998830978E-3</v>
      </c>
      <c r="BB46" s="298">
        <f t="shared" ca="1" si="46"/>
        <v>0</v>
      </c>
      <c r="BC46" s="296">
        <f t="shared" ca="1" si="53"/>
        <v>0.50035178623368937</v>
      </c>
      <c r="BD46" s="297">
        <f t="shared" ca="1" si="47"/>
        <v>0.25098098303644467</v>
      </c>
      <c r="BE46" s="297">
        <f t="shared" ca="1" si="48"/>
        <v>0.24784070382227336</v>
      </c>
      <c r="BF46" s="297">
        <f t="shared" ca="1" si="49"/>
        <v>0</v>
      </c>
      <c r="BG46" s="297">
        <f t="shared" ca="1" si="50"/>
        <v>8.2652690759262135E-4</v>
      </c>
      <c r="BH46" s="298">
        <f t="shared" ca="1" si="51"/>
        <v>0</v>
      </c>
    </row>
    <row r="47" spans="1:62" ht="13.5" thickBot="1" x14ac:dyDescent="0.25">
      <c r="A47" s="618">
        <v>2030</v>
      </c>
      <c r="B47" s="814" cm="1">
        <f t="array" ref="B47">ROUND(INDEX(COST_Cls3,$A47-($A$24-1),MATCH(B$20,TECHOPTS_Cls3,0)),2)</f>
        <v>83815.850000000006</v>
      </c>
      <c r="C47" s="815" cm="1">
        <f t="array" ref="C47">ROUND(INDEX(COST_Cls3,$A47-($A$24-1),MATCH(C$20,TECHOPTS_Cls3,0)),2)</f>
        <v>1681.21</v>
      </c>
      <c r="D47" s="815" cm="1">
        <f t="array" ref="D47">ROUND(INDEX(COST_Cls3,$A47-($A$24-1),MATCH(D$20,TECHOPTS_Cls3,0)),2)</f>
        <v>5922.54</v>
      </c>
      <c r="E47" s="815" cm="1">
        <f t="array" ref="E47">ROUND(INDEX(COST_Cls3,$A47-($A$24-1),MATCH(E$20,TECHOPTS_Cls3,0)),2)</f>
        <v>120755.69</v>
      </c>
      <c r="F47" s="815" cm="1">
        <f t="array" ref="F47">ROUND(INDEX(COST_Cls3,$A47-($A$24-1),MATCH(F$20,TECHOPTS_Cls3,0)),2)</f>
        <v>57152.33</v>
      </c>
      <c r="G47" s="816" cm="1">
        <f t="array" ref="G47">ROUND(INDEX(COST_Cls3,$A47-($A$24-1),MATCH(G$20,TECHOPTS_Cls3,0)),2)</f>
        <v>1000000</v>
      </c>
      <c r="H47" s="781" cm="1">
        <f t="array" ref="H47">IF(H$21="Single-fuel",1,1-MIN(INDEX(CDRANGE_CLS3,$A47-($A$24-1),MATCH(H$20,TECHOPTS_Cls3,0))*OPDAYS_Cls3/$D$6,1))</f>
        <v>1</v>
      </c>
      <c r="I47" s="782" cm="1">
        <f t="array" ref="I47">IF(I$21="Single-fuel",1,1-MIN(INDEX(CDRANGE_CLS3,$A47-($A$24-1),MATCH(I$20,TECHOPTS_Cls3,0))*OPDAYS_Cls3/$D$6,1))</f>
        <v>1</v>
      </c>
      <c r="J47" s="782" cm="1">
        <f t="array" ref="J47">IF(J$21="Single-fuel",1,1-MIN(INDEX(CDRANGE_CLS3,$A47-($A$24-1),MATCH(J$20,TECHOPTS_Cls3,0))*OPDAYS_Cls3/$D$6,1))</f>
        <v>1</v>
      </c>
      <c r="K47" s="782" cm="1">
        <f t="array" ref="K47">IF(K$21="Single-fuel",1,1-MIN(INDEX(CDRANGE_CLS3,$A47-($A$24-1),MATCH(K$20,TECHOPTS_Cls3,0))*OPDAYS_Cls3/$D$6,1))</f>
        <v>1</v>
      </c>
      <c r="L47" s="782" cm="1">
        <f t="array" ref="L47">IF(L$21="Single-fuel",1,1-MIN(INDEX(CDRANGE_CLS3,$A47-($A$24-1),MATCH(L$20,TECHOPTS_Cls3,0))*OPDAYS_Cls3/$D$6,1))</f>
        <v>1</v>
      </c>
      <c r="M47" s="783" cm="1">
        <f t="array" ref="M47">IF(M$21="Single-fuel",1,1-MIN(INDEX(CDRANGE_CLS3,$A47-($A$24-1),MATCH(M$20,TECHOPTS_Cls3,0))*OPDAYS_Cls3/$D$6,1))</f>
        <v>1</v>
      </c>
      <c r="N47" s="882" cm="1">
        <f t="array" ref="N47">VLOOKUP($A47,IF($D$5="Central",FuelPriceCent,FuelPriceNCent),MATCH(N$21,FuelPriceCols,0),0)*(H47*$D$6)/(12*INDEX(FUEL1MPG_Cls3,$A47-($A$24-1),MATCH(N$20,TECHOPTS_Cls3,0)))+IFERROR(VLOOKUP($A47,IF($D$5="Central",FuelPriceCent,FuelPriceNCent),MATCH(INDEX($G$11:$G$16,MATCH(N$20,$B$11:$B$16,0)),FuelPriceCols,0),0),0)*((1-H47)*$D$6)/(12*INDEX(FUEL2MPG_Cls3,$A47-($A$24-1),MATCH(N$20,TECHOPTS_Cls3,0)))</f>
        <v>8133.7098150602469</v>
      </c>
      <c r="O47" s="776" cm="1">
        <f t="array" ref="O47">VLOOKUP($A47,IF($D$5="Central",FuelPriceCent,FuelPriceNCent),MATCH(O$21,FuelPriceCols,0),0)*(I47*$D$6)/(12*INDEX(FUEL1MPG_Cls3,$A47-($A$24-1),MATCH(O$20,TECHOPTS_Cls3,0)))+IFERROR(VLOOKUP($A47,IF($D$5="Central",FuelPriceCent,FuelPriceNCent),MATCH(INDEX($G$11:$G$16,MATCH(O$20,$B$11:$B$16,0)),FuelPriceCols,0),0),0)*((1-I47)*$D$6)/(12*INDEX(FUEL2MPG_Cls3,$A47-($A$24-1),MATCH(O$20,TECHOPTS_Cls3,0)))</f>
        <v>7958.2244092898154</v>
      </c>
      <c r="P47" s="776" cm="1">
        <f t="array" ref="P47">VLOOKUP($A47,IF($D$5="Central",FuelPriceCent,FuelPriceNCent),MATCH(P$21,FuelPriceCols,0),0)*(J47*$D$6)/(12*INDEX(FUEL1MPG_Cls3,$A47-($A$24-1),MATCH(P$20,TECHOPTS_Cls3,0)))+IFERROR(VLOOKUP($A47,IF($D$5="Central",FuelPriceCent,FuelPriceNCent),MATCH(INDEX($G$11:$G$16,MATCH(P$20,$B$11:$B$16,0)),FuelPriceCols,0),0),0)*((1-J47)*$D$6)/(12*INDEX(FUEL2MPG_Cls3,$A47-($A$24-1),MATCH(P$20,TECHOPTS_Cls3,0)))</f>
        <v>5286.7848521653068</v>
      </c>
      <c r="Q47" s="776" cm="1">
        <f t="array" ref="Q47">VLOOKUP($A47,IF($D$5="Central",FuelPriceCent,FuelPriceNCent),MATCH(Q$21,FuelPriceCols,0),0)*(K47*$D$6)/(12*INDEX(FUEL1MPG_Cls3,$A47-($A$24-1),MATCH(Q$20,TECHOPTS_Cls3,0)))+IFERROR(VLOOKUP($A47,IF($D$5="Central",FuelPriceCent,FuelPriceNCent),MATCH(INDEX($G$11:$G$16,MATCH(Q$20,$B$11:$B$16,0)),FuelPriceCols,0),0),0)*((1-K47)*$D$6)/(12*INDEX(FUEL2MPG_Cls3,$A47-($A$24-1),MATCH(Q$20,TECHOPTS_Cls3,0)))</f>
        <v>6723.4732779448714</v>
      </c>
      <c r="R47" s="776" cm="1">
        <f t="array" ref="R47">VLOOKUP($A47,IF($D$5="Central",FuelPriceCent,FuelPriceNCent),MATCH(R$21,FuelPriceCols,0),0)*(L47*$D$6)/(12*INDEX(FUEL1MPG_Cls3,$A47-($A$24-1),MATCH(R$20,TECHOPTS_Cls3,0)))+IFERROR(VLOOKUP($A47,IF($D$5="Central",FuelPriceCent,FuelPriceNCent),MATCH(INDEX($G$11:$G$16,MATCH(R$20,$B$11:$B$16,0)),FuelPriceCols,0),0),0)*((1-L47)*$D$6)/(12*INDEX(FUEL2MPG_Cls3,$A47-($A$24-1),MATCH(R$20,TECHOPTS_Cls3,0)))</f>
        <v>6693.5142505571757</v>
      </c>
      <c r="S47" s="777" cm="1">
        <f t="array" ref="S47">VLOOKUP($A47,IF($D$5="Central",FuelPriceCent,FuelPriceNCent),MATCH(S$21,FuelPriceCols,0),0)*(M47*$D$6)/(12*INDEX(FUEL1MPG_Cls3,$A47-($A$24-1),MATCH(S$20,TECHOPTS_Cls3,0)))+IFERROR(VLOOKUP($A47,IF($D$5="Central",FuelPriceCent,FuelPriceNCent),MATCH(INDEX($G$11:$G$16,MATCH(S$20,$B$11:$B$16,0)),FuelPriceCols,0),0),0)*((1-M47)*$D$6)/(12*INDEX(FUEL2MPG_Cls3,$A47-($A$24-1),MATCH(S$20,TECHOPTS_Cls3,0)))</f>
        <v>62344.920958125003</v>
      </c>
      <c r="T47" s="735">
        <f t="shared" si="30"/>
        <v>175.4854057704315</v>
      </c>
      <c r="U47" s="619">
        <f t="shared" si="31"/>
        <v>2846.9249628949401</v>
      </c>
      <c r="V47" s="619">
        <f t="shared" si="32"/>
        <v>1410.2365371153755</v>
      </c>
      <c r="W47" s="619">
        <f t="shared" si="33"/>
        <v>1440.1955645030712</v>
      </c>
      <c r="X47" s="620">
        <f t="shared" si="34"/>
        <v>-54211.211143064756</v>
      </c>
      <c r="Y47" s="723" cm="1">
        <f t="array" aca="1" ref="Y47" ca="1">IF(AND(Y$22=TRUE,INDEX(CDRANGE_CLS3,MATCH($A47,$A$24:$A$67,0),MATCH(Y$20,$B$20:$G$20,0))&lt;$D$6/OPDAYS_Cls3),86,payback(C47,T47,disc_rate/12,85))</f>
        <v>10</v>
      </c>
      <c r="Z47" s="724" cm="1">
        <f t="array" aca="1" ref="Z47" ca="1">IF(AND(Z$22=TRUE,INDEX(CDRANGE_CLS3,MATCH($A47,$A$24:$A$67,0),MATCH(Z$20,$B$20:$G$20,0))&lt;$D$6/OPDAYS_Cls3),86,payback(D47,U47,disc_rate/12,85))</f>
        <v>3</v>
      </c>
      <c r="AA47" s="724" cm="1">
        <f t="array" ref="AA47">IF(AND(AA$22=TRUE,INDEX(CDRANGE_CLS3,MATCH($A47,$A$24:$A$67,0),MATCH(AA$20,$B$20:$G$20,0))&lt;$D$6/OPDAYS_Cls3),86,payback(E47,V47,disc_rate/12,85))</f>
        <v>86</v>
      </c>
      <c r="AB47" s="724" cm="1">
        <f t="array" aca="1" ref="AB47" ca="1">IF(AND(AB$22=TRUE,INDEX(CDRANGE_CLS3,MATCH($A47,$A$24:$A$67,0),MATCH(AB$20,$B$20:$G$20,0))&lt;$D$6/OPDAYS_Cls3),86,payback(F47,W47,disc_rate/12,85))</f>
        <v>46</v>
      </c>
      <c r="AC47" s="891" cm="1">
        <f t="array" aca="1" ref="AC47" ca="1">IF(AND(AC$22=TRUE,INDEX(CDRANGE_CLS3,MATCH($A47,$A$24:$A$67,0),MATCH(AC$20,$B$20:$G$20,0))&lt;$D$6/OPDAYS_Cls3),86,payback(G47,X47,disc_rate/12,85))</f>
        <v>86</v>
      </c>
      <c r="AD47" s="624">
        <f t="shared" si="35"/>
        <v>0</v>
      </c>
      <c r="AE47" s="625">
        <f t="shared" si="36"/>
        <v>0</v>
      </c>
      <c r="AF47" s="625">
        <f t="shared" si="37"/>
        <v>0</v>
      </c>
      <c r="AG47" s="625">
        <f t="shared" si="38"/>
        <v>0</v>
      </c>
      <c r="AH47" s="626">
        <f t="shared" si="39"/>
        <v>0</v>
      </c>
      <c r="AI47" s="627" cm="1">
        <f t="array" ref="AI47">IF($A47&lt;AI$23,0,AI$21+VLOOKUP($A47-AI$23,SCdata,2,1)*(AI$22-AI$21))*IF($D$5="Non-Central",INDEX(fuel_avail,$A47-$A$24+1,MATCH(O$21,Fuels,0)),1)</f>
        <v>0.36552928931500245</v>
      </c>
      <c r="AJ47" s="628" cm="1">
        <f t="array" ref="AJ47">IF($A47&lt;AJ$23,0,AJ$21+VLOOKUP($A47-AJ$23,SCdata,2,1)*(AJ$22-AJ$21))*IF($D$5="Non-Central",INDEX(fuel_avail,$A47-$A$24+1,MATCH(P$21,Fuels,0)),1)</f>
        <v>0.36552928931500245</v>
      </c>
      <c r="AK47" s="628" cm="1">
        <f t="array" ref="AK47">IF($A47&lt;AK$23,0,AK$21+VLOOKUP($A47-AK$23,SCdata,2,1)*(AK$22-AK$21))*IF($D$5="Non-Central",INDEX(fuel_avail,$A47-$A$24+1,MATCH(Q$21,Fuels,0)),1)</f>
        <v>0.36552928931500245</v>
      </c>
      <c r="AL47" s="628" cm="1">
        <f t="array" ref="AL47">IF($A47&lt;AL$23,0,AL$21+VLOOKUP($A47-AL$23,SCdata,2,1)*(AL$22-AL$21))*IF($D$5="Non-Central",INDEX(fuel_avail,$A47-$A$24+1,MATCH(R$21,Fuels,0)),1)</f>
        <v>0.36552928931500245</v>
      </c>
      <c r="AM47" s="629" cm="1">
        <f t="array" ref="AM47">IF($A47&lt;AM$23,0,AM$21+VLOOKUP($A47-AM$23,SCdata,2,1)*(AM$22-AM$21))*IF($D$5="Non-Central",INDEX(fuel_avail,$A47-$A$24+1,MATCH(S$21,Fuels,0)),1)</f>
        <v>0</v>
      </c>
      <c r="AN47" s="630">
        <f t="shared" si="52"/>
        <v>0.99888301727018525</v>
      </c>
      <c r="AO47" s="628">
        <f t="shared" si="52"/>
        <v>0.98622622603920895</v>
      </c>
      <c r="AP47" s="628">
        <f t="shared" si="52"/>
        <v>3.1328537058228356E-3</v>
      </c>
      <c r="AQ47" s="628">
        <f t="shared" si="52"/>
        <v>0.27484293244249458</v>
      </c>
      <c r="AR47" s="629">
        <f t="shared" si="52"/>
        <v>0</v>
      </c>
      <c r="AS47" s="624">
        <f t="shared" ca="1" si="41"/>
        <v>0.70256958544885761</v>
      </c>
      <c r="AT47" s="625">
        <f t="shared" ca="1" si="42"/>
        <v>0.7310585786300049</v>
      </c>
      <c r="AU47" s="625">
        <f t="shared" si="43"/>
        <v>0</v>
      </c>
      <c r="AV47" s="625">
        <f t="shared" ca="1" si="44"/>
        <v>5.9530711404297991E-2</v>
      </c>
      <c r="AW47" s="626">
        <f t="shared" ca="1" si="45"/>
        <v>0</v>
      </c>
      <c r="AX47" s="624">
        <f t="shared" ca="1" si="46"/>
        <v>0.70178482735541814</v>
      </c>
      <c r="AY47" s="625">
        <f t="shared" ca="1" si="46"/>
        <v>0.72098914301585804</v>
      </c>
      <c r="AZ47" s="625">
        <f t="shared" si="46"/>
        <v>0</v>
      </c>
      <c r="BA47" s="625">
        <f t="shared" ca="1" si="46"/>
        <v>1.6361595292745116E-2</v>
      </c>
      <c r="BB47" s="626">
        <f t="shared" ca="1" si="46"/>
        <v>0</v>
      </c>
      <c r="BC47" s="624">
        <f t="shared" ca="1" si="53"/>
        <v>0.27901085698414207</v>
      </c>
      <c r="BD47" s="625">
        <f t="shared" ca="1" si="47"/>
        <v>0.35158553045908114</v>
      </c>
      <c r="BE47" s="625">
        <f t="shared" ca="1" si="48"/>
        <v>0.36120665540420605</v>
      </c>
      <c r="BF47" s="625">
        <f t="shared" ca="1" si="49"/>
        <v>0</v>
      </c>
      <c r="BG47" s="625">
        <f t="shared" ca="1" si="50"/>
        <v>8.1969571525707108E-3</v>
      </c>
      <c r="BH47" s="626">
        <f t="shared" ca="1" si="51"/>
        <v>0</v>
      </c>
    </row>
    <row r="48" spans="1:62" x14ac:dyDescent="0.2">
      <c r="A48" s="318">
        <v>2031</v>
      </c>
      <c r="B48" s="817" cm="1">
        <f t="array" ref="B48">ROUND(INDEX(COST_Cls3,$A48-($A$24-1),MATCH(B$20,TECHOPTS_Cls3,0)),2)</f>
        <v>84154.68</v>
      </c>
      <c r="C48" s="818" cm="1">
        <f t="array" ref="C48">ROUND(INDEX(COST_Cls3,$A48-($A$24-1),MATCH(C$20,TECHOPTS_Cls3,0)),2)</f>
        <v>1913.11</v>
      </c>
      <c r="D48" s="818" cm="1">
        <f t="array" ref="D48">ROUND(INDEX(COST_Cls3,$A48-($A$24-1),MATCH(D$20,TECHOPTS_Cls3,0)),2)</f>
        <v>6020.81</v>
      </c>
      <c r="E48" s="818" cm="1">
        <f t="array" ref="E48">ROUND(INDEX(COST_Cls3,$A48-($A$24-1),MATCH(E$20,TECHOPTS_Cls3,0)),2)</f>
        <v>110728.97</v>
      </c>
      <c r="F48" s="818" cm="1">
        <f t="array" ref="F48">ROUND(INDEX(COST_Cls3,$A48-($A$24-1),MATCH(F$20,TECHOPTS_Cls3,0)),2)</f>
        <v>55612.77</v>
      </c>
      <c r="G48" s="819" cm="1">
        <f t="array" ref="G48">ROUND(INDEX(COST_Cls3,$A48-($A$24-1),MATCH(G$20,TECHOPTS_Cls3,0)),2)</f>
        <v>1000000</v>
      </c>
      <c r="H48" s="781" cm="1">
        <f t="array" ref="H48">IF(H$21="Single-fuel",1,1-MIN(INDEX(CDRANGE_CLS3,$A48-($A$24-1),MATCH(H$20,TECHOPTS_Cls3,0))*OPDAYS_Cls3/$D$6,1))</f>
        <v>1</v>
      </c>
      <c r="I48" s="782" cm="1">
        <f t="array" ref="I48">IF(I$21="Single-fuel",1,1-MIN(INDEX(CDRANGE_CLS3,$A48-($A$24-1),MATCH(I$20,TECHOPTS_Cls3,0))*OPDAYS_Cls3/$D$6,1))</f>
        <v>1</v>
      </c>
      <c r="J48" s="782" cm="1">
        <f t="array" ref="J48">IF(J$21="Single-fuel",1,1-MIN(INDEX(CDRANGE_CLS3,$A48-($A$24-1),MATCH(J$20,TECHOPTS_Cls3,0))*OPDAYS_Cls3/$D$6,1))</f>
        <v>1</v>
      </c>
      <c r="K48" s="782" cm="1">
        <f t="array" ref="K48">IF(K$21="Single-fuel",1,1-MIN(INDEX(CDRANGE_CLS3,$A48-($A$24-1),MATCH(K$20,TECHOPTS_Cls3,0))*OPDAYS_Cls3/$D$6,1))</f>
        <v>1</v>
      </c>
      <c r="L48" s="782" cm="1">
        <f t="array" ref="L48">IF(L$21="Single-fuel",1,1-MIN(INDEX(CDRANGE_CLS3,$A48-($A$24-1),MATCH(L$20,TECHOPTS_Cls3,0))*OPDAYS_Cls3/$D$6,1))</f>
        <v>1</v>
      </c>
      <c r="M48" s="783" cm="1">
        <f t="array" ref="M48">IF(M$21="Single-fuel",1,1-MIN(INDEX(CDRANGE_CLS3,$A48-($A$24-1),MATCH(M$20,TECHOPTS_Cls3,0))*OPDAYS_Cls3/$D$6,1))</f>
        <v>1</v>
      </c>
      <c r="N48" s="736" cm="1">
        <f t="array" ref="N48">VLOOKUP($A48,IF($D$5="Central",FuelPriceCent,FuelPriceNCent),MATCH(N$21,FuelPriceCols,0),0)*(H48*$D$6)/(12*INDEX(FUEL1MPG_Cls3,$A48-($A$24-1),MATCH(N$20,TECHOPTS_Cls3,0)))+IFERROR(VLOOKUP($A48,IF($D$5="Central",FuelPriceCent,FuelPriceNCent),MATCH(INDEX($G$11:$G$16,MATCH(N$20,$B$11:$B$16,0)),FuelPriceCols,0),0),0)*((1-H48)*$D$6)/(12*INDEX(FUEL2MPG_Cls3,$A48-($A$24-1),MATCH(N$20,TECHOPTS_Cls3,0)))</f>
        <v>8069.6444741273481</v>
      </c>
      <c r="O48" s="632" cm="1">
        <f t="array" ref="O48">VLOOKUP($A48,IF($D$5="Central",FuelPriceCent,FuelPriceNCent),MATCH(O$21,FuelPriceCols,0),0)*(I48*$D$6)/(12*INDEX(FUEL1MPG_Cls3,$A48-($A$24-1),MATCH(O$20,TECHOPTS_Cls3,0)))+IFERROR(VLOOKUP($A48,IF($D$5="Central",FuelPriceCent,FuelPriceNCent),MATCH(INDEX($G$11:$G$16,MATCH(O$20,$B$11:$B$16,0)),FuelPriceCols,0),0),0)*((1-I48)*$D$6)/(12*INDEX(FUEL2MPG_Cls3,$A48-($A$24-1),MATCH(O$20,TECHOPTS_Cls3,0)))</f>
        <v>7985.54529684522</v>
      </c>
      <c r="P48" s="632" cm="1">
        <f t="array" ref="P48">VLOOKUP($A48,IF($D$5="Central",FuelPriceCent,FuelPriceNCent),MATCH(P$21,FuelPriceCols,0),0)*(J48*$D$6)/(12*INDEX(FUEL1MPG_Cls3,$A48-($A$24-1),MATCH(P$20,TECHOPTS_Cls3,0)))+IFERROR(VLOOKUP($A48,IF($D$5="Central",FuelPriceCent,FuelPriceNCent),MATCH(INDEX($G$11:$G$16,MATCH(P$20,$B$11:$B$16,0)),FuelPriceCols,0),0),0)*((1-J48)*$D$6)/(12*INDEX(FUEL2MPG_Cls3,$A48-($A$24-1),MATCH(P$20,TECHOPTS_Cls3,0)))</f>
        <v>5278.4847735051835</v>
      </c>
      <c r="Q48" s="632" cm="1">
        <f t="array" ref="Q48">VLOOKUP($A48,IF($D$5="Central",FuelPriceCent,FuelPriceNCent),MATCH(Q$21,FuelPriceCols,0),0)*(K48*$D$6)/(12*INDEX(FUEL1MPG_Cls3,$A48-($A$24-1),MATCH(Q$20,TECHOPTS_Cls3,0)))+IFERROR(VLOOKUP($A48,IF($D$5="Central",FuelPriceCent,FuelPriceNCent),MATCH(INDEX($G$11:$G$16,MATCH(Q$20,$B$11:$B$16,0)),FuelPriceCols,0),0),0)*((1-K48)*$D$6)/(12*INDEX(FUEL2MPG_Cls3,$A48-($A$24-1),MATCH(Q$20,TECHOPTS_Cls3,0)))</f>
        <v>6637.1688931129875</v>
      </c>
      <c r="R48" s="632" cm="1">
        <f t="array" ref="R48">VLOOKUP($A48,IF($D$5="Central",FuelPriceCent,FuelPriceNCent),MATCH(R$21,FuelPriceCols,0),0)*(L48*$D$6)/(12*INDEX(FUEL1MPG_Cls3,$A48-($A$24-1),MATCH(R$20,TECHOPTS_Cls3,0)))+IFERROR(VLOOKUP($A48,IF($D$5="Central",FuelPriceCent,FuelPriceNCent),MATCH(INDEX($G$11:$G$16,MATCH(R$20,$B$11:$B$16,0)),FuelPriceCols,0),0),0)*((1-L48)*$D$6)/(12*INDEX(FUEL2MPG_Cls3,$A48-($A$24-1),MATCH(R$20,TECHOPTS_Cls3,0)))</f>
        <v>6498.2592812405146</v>
      </c>
      <c r="S48" s="745" cm="1">
        <f t="array" ref="S48">VLOOKUP($A48,IF($D$5="Central",FuelPriceCent,FuelPriceNCent),MATCH(S$21,FuelPriceCols,0),0)*(M48*$D$6)/(12*INDEX(FUEL1MPG_Cls3,$A48-($A$24-1),MATCH(S$20,TECHOPTS_Cls3,0)))+IFERROR(VLOOKUP($A48,IF($D$5="Central",FuelPriceCent,FuelPriceNCent),MATCH(INDEX($G$11:$G$16,MATCH(S$20,$B$11:$B$16,0)),FuelPriceCols,0),0),0)*((1-M48)*$D$6)/(12*INDEX(FUEL2MPG_Cls3,$A48-($A$24-1),MATCH(S$20,TECHOPTS_Cls3,0)))</f>
        <v>63043.781713125005</v>
      </c>
      <c r="T48" s="736">
        <f t="shared" si="30"/>
        <v>84.099177282128039</v>
      </c>
      <c r="U48" s="632">
        <f t="shared" si="31"/>
        <v>2791.1597006221646</v>
      </c>
      <c r="V48" s="632">
        <f t="shared" si="32"/>
        <v>1432.4755810143606</v>
      </c>
      <c r="W48" s="632">
        <f t="shared" si="33"/>
        <v>1571.3851928868335</v>
      </c>
      <c r="X48" s="633">
        <f t="shared" si="34"/>
        <v>-54974.13723899766</v>
      </c>
      <c r="Y48" s="634" cm="1">
        <f t="array" aca="1" ref="Y48" ca="1">IF(AND(Y$22=TRUE,INDEX(CDRANGE_CLS3,MATCH($A48,$A$24:$A$67,0),MATCH(Y$20,$B$20:$G$20,0))&lt;$D$6/OPDAYS_Cls3),86,payback(C48,T48,disc_rate/12,85))</f>
        <v>25</v>
      </c>
      <c r="Z48" s="635" cm="1">
        <f t="array" aca="1" ref="Z48" ca="1">IF(AND(Z$22=TRUE,INDEX(CDRANGE_CLS3,MATCH($A48,$A$24:$A$67,0),MATCH(Z$20,$B$20:$G$20,0))&lt;$D$6/OPDAYS_Cls3),86,payback(D48,U48,disc_rate/12,85))</f>
        <v>3</v>
      </c>
      <c r="AA48" s="635" cm="1">
        <f t="array" ref="AA48">IF(AND(AA$22=TRUE,INDEX(CDRANGE_CLS3,MATCH($A48,$A$24:$A$67,0),MATCH(AA$20,$B$20:$G$20,0))&lt;$D$6/OPDAYS_Cls3),86,payback(E48,V48,disc_rate/12,85))</f>
        <v>86</v>
      </c>
      <c r="AB48" s="635" cm="1">
        <f t="array" aca="1" ref="AB48" ca="1">IF(AND(AB$22=TRUE,INDEX(CDRANGE_CLS3,MATCH($A48,$A$24:$A$67,0),MATCH(AB$20,$B$20:$G$20,0))&lt;$D$6/OPDAYS_Cls3),86,payback(F48,W48,disc_rate/12,85))</f>
        <v>41</v>
      </c>
      <c r="AC48" s="892" cm="1">
        <f t="array" aca="1" ref="AC48" ca="1">IF(AND(AC$22=TRUE,INDEX(CDRANGE_CLS3,MATCH($A48,$A$24:$A$67,0),MATCH(AC$20,$B$20:$G$20,0))&lt;$D$6/OPDAYS_Cls3),86,payback(G48,X48,disc_rate/12,85))</f>
        <v>86</v>
      </c>
      <c r="AD48" s="637">
        <f t="shared" si="35"/>
        <v>0</v>
      </c>
      <c r="AE48" s="638">
        <f t="shared" si="36"/>
        <v>0</v>
      </c>
      <c r="AF48" s="638">
        <f t="shared" si="37"/>
        <v>0</v>
      </c>
      <c r="AG48" s="638">
        <f t="shared" si="38"/>
        <v>0</v>
      </c>
      <c r="AH48" s="639">
        <f t="shared" si="39"/>
        <v>0</v>
      </c>
      <c r="AI48" s="640" cm="1">
        <f t="array" ref="AI48">IF($A48&lt;AI$23,0,AI$21+VLOOKUP($A48-AI$23,SCdata,2,1)*(AI$22-AI$21))*IF($D$5="Non-Central",INDEX(fuel_avail,$A48-$A$24+1,MATCH(O$21,Fuels,0)),1)</f>
        <v>0.44039853898894116</v>
      </c>
      <c r="AJ48" s="641" cm="1">
        <f t="array" ref="AJ48">IF($A48&lt;AJ$23,0,AJ$21+VLOOKUP($A48-AJ$23,SCdata,2,1)*(AJ$22-AJ$21))*IF($D$5="Non-Central",INDEX(fuel_avail,$A48-$A$24+1,MATCH(P$21,Fuels,0)),1)</f>
        <v>0.44039853898894116</v>
      </c>
      <c r="AK48" s="641" cm="1">
        <f t="array" ref="AK48">IF($A48&lt;AK$23,0,AK$21+VLOOKUP($A48-AK$23,SCdata,2,1)*(AK$22-AK$21))*IF($D$5="Non-Central",INDEX(fuel_avail,$A48-$A$24+1,MATCH(Q$21,Fuels,0)),1)</f>
        <v>0.44039853898894116</v>
      </c>
      <c r="AL48" s="641" cm="1">
        <f t="array" ref="AL48">IF($A48&lt;AL$23,0,AL$21+VLOOKUP($A48-AL$23,SCdata,2,1)*(AL$22-AL$21))*IF($D$5="Non-Central",INDEX(fuel_avail,$A48-$A$24+1,MATCH(R$21,Fuels,0)),1)</f>
        <v>0.44039853898894116</v>
      </c>
      <c r="AM48" s="642" cm="1">
        <f t="array" ref="AM48">IF($A48&lt;AM$23,0,AM$21+VLOOKUP($A48-AM$23,SCdata,2,1)*(AM$22-AM$21))*IF($D$5="Non-Central",INDEX(fuel_avail,$A48-$A$24+1,MATCH(S$21,Fuels,0)),1)</f>
        <v>0</v>
      </c>
      <c r="AN48" s="643">
        <f t="shared" si="52"/>
        <v>0.99856547161256382</v>
      </c>
      <c r="AO48" s="641">
        <f t="shared" si="52"/>
        <v>0.98588220181201525</v>
      </c>
      <c r="AP48" s="641">
        <f t="shared" si="52"/>
        <v>8.1552262513107099E-3</v>
      </c>
      <c r="AQ48" s="641">
        <f t="shared" si="52"/>
        <v>0.29727977533491523</v>
      </c>
      <c r="AR48" s="642">
        <f t="shared" si="52"/>
        <v>0</v>
      </c>
      <c r="AS48" s="637">
        <f t="shared" ca="1" si="41"/>
        <v>0.45673954751240892</v>
      </c>
      <c r="AT48" s="638">
        <f t="shared" ca="1" si="42"/>
        <v>0.88079707797788231</v>
      </c>
      <c r="AU48" s="638">
        <f t="shared" si="43"/>
        <v>0</v>
      </c>
      <c r="AV48" s="638">
        <f t="shared" ca="1" si="44"/>
        <v>0.12256810316882091</v>
      </c>
      <c r="AW48" s="639">
        <f t="shared" ca="1" si="45"/>
        <v>0</v>
      </c>
      <c r="AX48" s="637">
        <f t="shared" ca="1" si="46"/>
        <v>0.45608434166583761</v>
      </c>
      <c r="AY48" s="638">
        <f t="shared" ca="1" si="46"/>
        <v>0.86836216258642385</v>
      </c>
      <c r="AZ48" s="638">
        <f t="shared" si="46"/>
        <v>0</v>
      </c>
      <c r="BA48" s="638">
        <f t="shared" ca="1" si="46"/>
        <v>3.6437018173253795E-2</v>
      </c>
      <c r="BB48" s="639">
        <f t="shared" ca="1" si="46"/>
        <v>0</v>
      </c>
      <c r="BC48" s="637">
        <f t="shared" ca="1" si="53"/>
        <v>0.13163783741357626</v>
      </c>
      <c r="BD48" s="638">
        <f t="shared" ca="1" si="47"/>
        <v>0.29102151559956801</v>
      </c>
      <c r="BE48" s="638">
        <f t="shared" ca="1" si="48"/>
        <v>0.55409065727228102</v>
      </c>
      <c r="BF48" s="638">
        <f t="shared" ca="1" si="49"/>
        <v>0</v>
      </c>
      <c r="BG48" s="638">
        <f t="shared" ca="1" si="50"/>
        <v>2.3249989714574756E-2</v>
      </c>
      <c r="BH48" s="639">
        <f t="shared" ca="1" si="51"/>
        <v>0</v>
      </c>
    </row>
    <row r="49" spans="1:60" x14ac:dyDescent="0.2">
      <c r="A49" s="317">
        <v>2032</v>
      </c>
      <c r="B49" s="820" cm="1">
        <f t="array" ref="B49">ROUND(INDEX(COST_Cls3,$A49-($A$24-1),MATCH(B$20,TECHOPTS_Cls3,0)),2)</f>
        <v>84191.18</v>
      </c>
      <c r="C49" s="821" cm="1">
        <f t="array" ref="C49">ROUND(INDEX(COST_Cls3,$A49-($A$24-1),MATCH(C$20,TECHOPTS_Cls3,0)),2)</f>
        <v>2037.94</v>
      </c>
      <c r="D49" s="821" cm="1">
        <f t="array" ref="D49">ROUND(INDEX(COST_Cls3,$A49-($A$24-1),MATCH(D$20,TECHOPTS_Cls3,0)),2)</f>
        <v>6073.71</v>
      </c>
      <c r="E49" s="821" cm="1">
        <f t="array" ref="E49">ROUND(INDEX(COST_Cls3,$A49-($A$24-1),MATCH(E$20,TECHOPTS_Cls3,0)),2)</f>
        <v>105331.84</v>
      </c>
      <c r="F49" s="821" cm="1">
        <f t="array" ref="F49">ROUND(INDEX(COST_Cls3,$A49-($A$24-1),MATCH(F$20,TECHOPTS_Cls3,0)),2)</f>
        <v>54784.07</v>
      </c>
      <c r="G49" s="822" cm="1">
        <f t="array" ref="G49">ROUND(INDEX(COST_Cls3,$A49-($A$24-1),MATCH(G$20,TECHOPTS_Cls3,0)),2)</f>
        <v>1000000</v>
      </c>
      <c r="H49" s="781" cm="1">
        <f t="array" ref="H49">IF(H$21="Single-fuel",1,1-MIN(INDEX(CDRANGE_CLS3,$A49-($A$24-1),MATCH(H$20,TECHOPTS_Cls3,0))*OPDAYS_Cls3/$D$6,1))</f>
        <v>1</v>
      </c>
      <c r="I49" s="782" cm="1">
        <f t="array" ref="I49">IF(I$21="Single-fuel",1,1-MIN(INDEX(CDRANGE_CLS3,$A49-($A$24-1),MATCH(I$20,TECHOPTS_Cls3,0))*OPDAYS_Cls3/$D$6,1))</f>
        <v>1</v>
      </c>
      <c r="J49" s="782" cm="1">
        <f t="array" ref="J49">IF(J$21="Single-fuel",1,1-MIN(INDEX(CDRANGE_CLS3,$A49-($A$24-1),MATCH(J$20,TECHOPTS_Cls3,0))*OPDAYS_Cls3/$D$6,1))</f>
        <v>1</v>
      </c>
      <c r="K49" s="782" cm="1">
        <f t="array" ref="K49">IF(K$21="Single-fuel",1,1-MIN(INDEX(CDRANGE_CLS3,$A49-($A$24-1),MATCH(K$20,TECHOPTS_Cls3,0))*OPDAYS_Cls3/$D$6,1))</f>
        <v>1</v>
      </c>
      <c r="L49" s="782" cm="1">
        <f t="array" ref="L49">IF(L$21="Single-fuel",1,1-MIN(INDEX(CDRANGE_CLS3,$A49-($A$24-1),MATCH(L$20,TECHOPTS_Cls3,0))*OPDAYS_Cls3/$D$6,1))</f>
        <v>1</v>
      </c>
      <c r="M49" s="783" cm="1">
        <f t="array" ref="M49">IF(M$21="Single-fuel",1,1-MIN(INDEX(CDRANGE_CLS3,$A49-($A$24-1),MATCH(M$20,TECHOPTS_Cls3,0))*OPDAYS_Cls3/$D$6,1))</f>
        <v>1</v>
      </c>
      <c r="N49" s="733" cm="1">
        <f t="array" ref="N49">VLOOKUP($A49,IF($D$5="Central",FuelPriceCent,FuelPriceNCent),MATCH(N$21,FuelPriceCols,0),0)*(H49*$D$6)/(12*INDEX(FUEL1MPG_Cls3,$A49-($A$24-1),MATCH(N$20,TECHOPTS_Cls3,0)))+IFERROR(VLOOKUP($A49,IF($D$5="Central",FuelPriceCent,FuelPriceNCent),MATCH(INDEX($G$11:$G$16,MATCH(N$20,$B$11:$B$16,0)),FuelPriceCols,0),0),0)*((1-H49)*$D$6)/(12*INDEX(FUEL2MPG_Cls3,$A49-($A$24-1),MATCH(N$20,TECHOPTS_Cls3,0)))</f>
        <v>8111.6858791906507</v>
      </c>
      <c r="O49" s="276" cm="1">
        <f t="array" ref="O49">VLOOKUP($A49,IF($D$5="Central",FuelPriceCent,FuelPriceNCent),MATCH(O$21,FuelPriceCols,0),0)*(I49*$D$6)/(12*INDEX(FUEL1MPG_Cls3,$A49-($A$24-1),MATCH(O$20,TECHOPTS_Cls3,0)))+IFERROR(VLOOKUP($A49,IF($D$5="Central",FuelPriceCent,FuelPriceNCent),MATCH(INDEX($G$11:$G$16,MATCH(O$20,$B$11:$B$16,0)),FuelPriceCols,0),0),0)*((1-I49)*$D$6)/(12*INDEX(FUEL2MPG_Cls3,$A49-($A$24-1),MATCH(O$20,TECHOPTS_Cls3,0)))</f>
        <v>8010.3100824337307</v>
      </c>
      <c r="P49" s="276" cm="1">
        <f t="array" ref="P49">VLOOKUP($A49,IF($D$5="Central",FuelPriceCent,FuelPriceNCent),MATCH(P$21,FuelPriceCols,0),0)*(J49*$D$6)/(12*INDEX(FUEL1MPG_Cls3,$A49-($A$24-1),MATCH(P$20,TECHOPTS_Cls3,0)))+IFERROR(VLOOKUP($A49,IF($D$5="Central",FuelPriceCent,FuelPriceNCent),MATCH(INDEX($G$11:$G$16,MATCH(P$20,$B$11:$B$16,0)),FuelPriceCols,0),0),0)*((1-J49)*$D$6)/(12*INDEX(FUEL2MPG_Cls3,$A49-($A$24-1),MATCH(P$20,TECHOPTS_Cls3,0)))</f>
        <v>5280.848779159438</v>
      </c>
      <c r="Q49" s="276" cm="1">
        <f t="array" ref="Q49">VLOOKUP($A49,IF($D$5="Central",FuelPriceCent,FuelPriceNCent),MATCH(Q$21,FuelPriceCols,0),0)*(K49*$D$6)/(12*INDEX(FUEL1MPG_Cls3,$A49-($A$24-1),MATCH(Q$20,TECHOPTS_Cls3,0)))+IFERROR(VLOOKUP($A49,IF($D$5="Central",FuelPriceCent,FuelPriceNCent),MATCH(INDEX($G$11:$G$16,MATCH(Q$20,$B$11:$B$16,0)),FuelPriceCols,0),0),0)*((1-K49)*$D$6)/(12*INDEX(FUEL2MPG_Cls3,$A49-($A$24-1),MATCH(Q$20,TECHOPTS_Cls3,0)))</f>
        <v>6593.4547587825027</v>
      </c>
      <c r="R49" s="276" cm="1">
        <f t="array" ref="R49">VLOOKUP($A49,IF($D$5="Central",FuelPriceCent,FuelPriceNCent),MATCH(R$21,FuelPriceCols,0),0)*(L49*$D$6)/(12*INDEX(FUEL1MPG_Cls3,$A49-($A$24-1),MATCH(R$20,TECHOPTS_Cls3,0)))+IFERROR(VLOOKUP($A49,IF($D$5="Central",FuelPriceCent,FuelPriceNCent),MATCH(INDEX($G$11:$G$16,MATCH(R$20,$B$11:$B$16,0)),FuelPriceCols,0),0),0)*((1-L49)*$D$6)/(12*INDEX(FUEL2MPG_Cls3,$A49-($A$24-1),MATCH(R$20,TECHOPTS_Cls3,0)))</f>
        <v>6337.8588976214187</v>
      </c>
      <c r="S49" s="278" cm="1">
        <f t="array" ref="S49">VLOOKUP($A49,IF($D$5="Central",FuelPriceCent,FuelPriceNCent),MATCH(S$21,FuelPriceCols,0),0)*(M49*$D$6)/(12*INDEX(FUEL1MPG_Cls3,$A49-($A$24-1),MATCH(S$20,TECHOPTS_Cls3,0)))+IFERROR(VLOOKUP($A49,IF($D$5="Central",FuelPriceCent,FuelPriceNCent),MATCH(INDEX($G$11:$G$16,MATCH(S$20,$B$11:$B$16,0)),FuelPriceCols,0),0),0)*((1-M49)*$D$6)/(12*INDEX(FUEL2MPG_Cls3,$A49-($A$24-1),MATCH(S$20,TECHOPTS_Cls3,0)))</f>
        <v>63501.07301249999</v>
      </c>
      <c r="T49" s="734">
        <f t="shared" si="30"/>
        <v>101.37579675691995</v>
      </c>
      <c r="U49" s="290">
        <f t="shared" si="31"/>
        <v>2830.8371000312127</v>
      </c>
      <c r="V49" s="290">
        <f t="shared" si="32"/>
        <v>1518.2311204081479</v>
      </c>
      <c r="W49" s="290">
        <f t="shared" si="33"/>
        <v>1773.826981569232</v>
      </c>
      <c r="X49" s="291">
        <f t="shared" si="34"/>
        <v>-55389.387133309341</v>
      </c>
      <c r="Y49" s="279" cm="1">
        <f t="array" aca="1" ref="Y49" ca="1">IF(AND(Y$22=TRUE,INDEX(CDRANGE_CLS3,MATCH($A49,$A$24:$A$67,0),MATCH(Y$20,$B$20:$G$20,0))&lt;$D$6/OPDAYS_Cls3),86,payback(C49,T49,disc_rate/12,85))</f>
        <v>22</v>
      </c>
      <c r="Z49" s="280" cm="1">
        <f t="array" aca="1" ref="Z49" ca="1">IF(AND(Z$22=TRUE,INDEX(CDRANGE_CLS3,MATCH($A49,$A$24:$A$67,0),MATCH(Z$20,$B$20:$G$20,0))&lt;$D$6/OPDAYS_Cls3),86,payback(D49,U49,disc_rate/12,85))</f>
        <v>3</v>
      </c>
      <c r="AA49" s="280" cm="1">
        <f t="array" ref="AA49">IF(AND(AA$22=TRUE,INDEX(CDRANGE_CLS3,MATCH($A49,$A$24:$A$67,0),MATCH(AA$20,$B$20:$G$20,0))&lt;$D$6/OPDAYS_Cls3),86,payback(E49,V49,disc_rate/12,85))</f>
        <v>86</v>
      </c>
      <c r="AB49" s="280" cm="1">
        <f t="array" aca="1" ref="AB49" ca="1">IF(AND(AB$22=TRUE,INDEX(CDRANGE_CLS3,MATCH($A49,$A$24:$A$67,0),MATCH(AB$20,$B$20:$G$20,0))&lt;$D$6/OPDAYS_Cls3),86,payback(F49,W49,disc_rate/12,85))</f>
        <v>35</v>
      </c>
      <c r="AC49" s="281" cm="1">
        <f t="array" aca="1" ref="AC49" ca="1">IF(AND(AC$22=TRUE,INDEX(CDRANGE_CLS3,MATCH($A49,$A$24:$A$67,0),MATCH(AC$20,$B$20:$G$20,0))&lt;$D$6/OPDAYS_Cls3),86,payback(G49,X49,disc_rate/12,85))</f>
        <v>86</v>
      </c>
      <c r="AD49" s="296">
        <f t="shared" si="35"/>
        <v>0</v>
      </c>
      <c r="AE49" s="297">
        <f t="shared" si="36"/>
        <v>0</v>
      </c>
      <c r="AF49" s="297">
        <f t="shared" si="37"/>
        <v>0</v>
      </c>
      <c r="AG49" s="297">
        <f t="shared" si="38"/>
        <v>0</v>
      </c>
      <c r="AH49" s="298">
        <f t="shared" si="39"/>
        <v>0</v>
      </c>
      <c r="AI49" s="595" cm="1">
        <f t="array" ref="AI49">IF($A49&lt;AI$23,0,AI$21+VLOOKUP($A49-AI$23,SCdata,2,1)*(AI$22-AI$21))*IF($D$5="Non-Central",INDEX(fuel_avail,$A49-$A$24+1,MATCH(O$21,Fuels,0)),1)</f>
        <v>0.47628706341121668</v>
      </c>
      <c r="AJ49" s="300" cm="1">
        <f t="array" ref="AJ49">IF($A49&lt;AJ$23,0,AJ$21+VLOOKUP($A49-AJ$23,SCdata,2,1)*(AJ$22-AJ$21))*IF($D$5="Non-Central",INDEX(fuel_avail,$A49-$A$24+1,MATCH(P$21,Fuels,0)),1)</f>
        <v>0.47628706341121668</v>
      </c>
      <c r="AK49" s="300" cm="1">
        <f t="array" ref="AK49">IF($A49&lt;AK$23,0,AK$21+VLOOKUP($A49-AK$23,SCdata,2,1)*(AK$22-AK$21))*IF($D$5="Non-Central",INDEX(fuel_avail,$A49-$A$24+1,MATCH(Q$21,Fuels,0)),1)</f>
        <v>0.47628706341121668</v>
      </c>
      <c r="AL49" s="300" cm="1">
        <f t="array" ref="AL49">IF($A49&lt;AL$23,0,AL$21+VLOOKUP($A49-AL$23,SCdata,2,1)*(AL$22-AL$21))*IF($D$5="Non-Central",INDEX(fuel_avail,$A49-$A$24+1,MATCH(R$21,Fuels,0)),1)</f>
        <v>0.47628706341121668</v>
      </c>
      <c r="AM49" s="598" cm="1">
        <f t="array" ref="AM49">IF($A49&lt;AM$23,0,AM$21+VLOOKUP($A49-AM$23,SCdata,2,1)*(AM$22-AM$21))*IF($D$5="Non-Central",INDEX(fuel_avail,$A49-$A$24+1,MATCH(S$21,Fuels,0)),1)</f>
        <v>0</v>
      </c>
      <c r="AN49" s="299">
        <f t="shared" si="52"/>
        <v>0.99837372602191865</v>
      </c>
      <c r="AO49" s="300">
        <f t="shared" si="52"/>
        <v>0.98564718999042167</v>
      </c>
      <c r="AP49" s="300">
        <f t="shared" si="52"/>
        <v>1.2933414371684604E-2</v>
      </c>
      <c r="AQ49" s="300">
        <f t="shared" si="52"/>
        <v>0.30845553748178944</v>
      </c>
      <c r="AR49" s="598">
        <f t="shared" si="52"/>
        <v>0</v>
      </c>
      <c r="AS49" s="296">
        <f t="shared" ca="1" si="41"/>
        <v>0.58826673355942782</v>
      </c>
      <c r="AT49" s="297">
        <f t="shared" ca="1" si="42"/>
        <v>0.95257412682243336</v>
      </c>
      <c r="AU49" s="297">
        <f t="shared" si="43"/>
        <v>0</v>
      </c>
      <c r="AV49" s="297">
        <f t="shared" ca="1" si="44"/>
        <v>0.23353385811251512</v>
      </c>
      <c r="AW49" s="298">
        <f t="shared" ca="1" si="45"/>
        <v>0</v>
      </c>
      <c r="AX49" s="296">
        <f t="shared" ca="1" si="46"/>
        <v>0.5873100506784692</v>
      </c>
      <c r="AY49" s="297">
        <f t="shared" ca="1" si="46"/>
        <v>0.93890201136011098</v>
      </c>
      <c r="AZ49" s="297">
        <f t="shared" si="46"/>
        <v>0</v>
      </c>
      <c r="BA49" s="297">
        <f t="shared" ca="1" si="46"/>
        <v>7.2034811724291811E-2</v>
      </c>
      <c r="BB49" s="298">
        <f t="shared" ca="1" si="46"/>
        <v>0</v>
      </c>
      <c r="BC49" s="296">
        <f t="shared" ca="1" si="53"/>
        <v>6.1097988639889023E-2</v>
      </c>
      <c r="BD49" s="297">
        <f t="shared" ca="1" si="47"/>
        <v>0.34501965680418234</v>
      </c>
      <c r="BE49" s="297">
        <f t="shared" ca="1" si="48"/>
        <v>0.55156496872138006</v>
      </c>
      <c r="BF49" s="297">
        <f t="shared" ca="1" si="49"/>
        <v>0</v>
      </c>
      <c r="BG49" s="297">
        <f t="shared" ca="1" si="50"/>
        <v>4.2317385834548561E-2</v>
      </c>
      <c r="BH49" s="298">
        <f t="shared" ca="1" si="51"/>
        <v>0</v>
      </c>
    </row>
    <row r="50" spans="1:60" x14ac:dyDescent="0.2">
      <c r="A50" s="317">
        <v>2033</v>
      </c>
      <c r="B50" s="820" cm="1">
        <f t="array" ref="B50">ROUND(INDEX(COST_Cls3,$A50-($A$24-1),MATCH(B$20,TECHOPTS_Cls3,0)),2)</f>
        <v>84227.76</v>
      </c>
      <c r="C50" s="821" cm="1">
        <f t="array" ref="C50">ROUND(INDEX(COST_Cls3,$A50-($A$24-1),MATCH(C$20,TECHOPTS_Cls3,0)),2)</f>
        <v>2098</v>
      </c>
      <c r="D50" s="821" cm="1">
        <f t="array" ref="D50">ROUND(INDEX(COST_Cls3,$A50-($A$24-1),MATCH(D$20,TECHOPTS_Cls3,0)),2)</f>
        <v>6099.16</v>
      </c>
      <c r="E50" s="821" cm="1">
        <f t="array" ref="E50">ROUND(INDEX(COST_Cls3,$A50-($A$24-1),MATCH(E$20,TECHOPTS_Cls3,0)),2)</f>
        <v>102735.19</v>
      </c>
      <c r="F50" s="821" cm="1">
        <f t="array" ref="F50">ROUND(INDEX(COST_Cls3,$A50-($A$24-1),MATCH(F$20,TECHOPTS_Cls3,0)),2)</f>
        <v>54385.37</v>
      </c>
      <c r="G50" s="822" cm="1">
        <f t="array" ref="G50">ROUND(INDEX(COST_Cls3,$A50-($A$24-1),MATCH(G$20,TECHOPTS_Cls3,0)),2)</f>
        <v>1000000</v>
      </c>
      <c r="H50" s="781" cm="1">
        <f t="array" ref="H50">IF(H$21="Single-fuel",1,1-MIN(INDEX(CDRANGE_CLS3,$A50-($A$24-1),MATCH(H$20,TECHOPTS_Cls3,0))*OPDAYS_Cls3/$D$6,1))</f>
        <v>1</v>
      </c>
      <c r="I50" s="782" cm="1">
        <f t="array" ref="I50">IF(I$21="Single-fuel",1,1-MIN(INDEX(CDRANGE_CLS3,$A50-($A$24-1),MATCH(I$20,TECHOPTS_Cls3,0))*OPDAYS_Cls3/$D$6,1))</f>
        <v>1</v>
      </c>
      <c r="J50" s="782" cm="1">
        <f t="array" ref="J50">IF(J$21="Single-fuel",1,1-MIN(INDEX(CDRANGE_CLS3,$A50-($A$24-1),MATCH(J$20,TECHOPTS_Cls3,0))*OPDAYS_Cls3/$D$6,1))</f>
        <v>1</v>
      </c>
      <c r="K50" s="782" cm="1">
        <f t="array" ref="K50">IF(K$21="Single-fuel",1,1-MIN(INDEX(CDRANGE_CLS3,$A50-($A$24-1),MATCH(K$20,TECHOPTS_Cls3,0))*OPDAYS_Cls3/$D$6,1))</f>
        <v>1</v>
      </c>
      <c r="L50" s="782" cm="1">
        <f t="array" ref="L50">IF(L$21="Single-fuel",1,1-MIN(INDEX(CDRANGE_CLS3,$A50-($A$24-1),MATCH(L$20,TECHOPTS_Cls3,0))*OPDAYS_Cls3/$D$6,1))</f>
        <v>1</v>
      </c>
      <c r="M50" s="783" cm="1">
        <f t="array" ref="M50">IF(M$21="Single-fuel",1,1-MIN(INDEX(CDRANGE_CLS3,$A50-($A$24-1),MATCH(M$20,TECHOPTS_Cls3,0))*OPDAYS_Cls3/$D$6,1))</f>
        <v>1</v>
      </c>
      <c r="N50" s="733" cm="1">
        <f t="array" ref="N50">VLOOKUP($A50,IF($D$5="Central",FuelPriceCent,FuelPriceNCent),MATCH(N$21,FuelPriceCols,0),0)*(H50*$D$6)/(12*INDEX(FUEL1MPG_Cls3,$A50-($A$24-1),MATCH(N$20,TECHOPTS_Cls3,0)))+IFERROR(VLOOKUP($A50,IF($D$5="Central",FuelPriceCent,FuelPriceNCent),MATCH(INDEX($G$11:$G$16,MATCH(N$20,$B$11:$B$16,0)),FuelPriceCols,0),0),0)*((1-H50)*$D$6)/(12*INDEX(FUEL2MPG_Cls3,$A50-($A$24-1),MATCH(N$20,TECHOPTS_Cls3,0)))</f>
        <v>8225.4709167428446</v>
      </c>
      <c r="O50" s="276" cm="1">
        <f t="array" ref="O50">VLOOKUP($A50,IF($D$5="Central",FuelPriceCent,FuelPriceNCent),MATCH(O$21,FuelPriceCols,0),0)*(I50*$D$6)/(12*INDEX(FUEL1MPG_Cls3,$A50-($A$24-1),MATCH(O$20,TECHOPTS_Cls3,0)))+IFERROR(VLOOKUP($A50,IF($D$5="Central",FuelPriceCent,FuelPriceNCent),MATCH(INDEX($G$11:$G$16,MATCH(O$20,$B$11:$B$16,0)),FuelPriceCols,0),0),0)*((1-I50)*$D$6)/(12*INDEX(FUEL2MPG_Cls3,$A50-($A$24-1),MATCH(O$20,TECHOPTS_Cls3,0)))</f>
        <v>8123.07647465426</v>
      </c>
      <c r="P50" s="276" cm="1">
        <f t="array" ref="P50">VLOOKUP($A50,IF($D$5="Central",FuelPriceCent,FuelPriceNCent),MATCH(P$21,FuelPriceCols,0),0)*(J50*$D$6)/(12*INDEX(FUEL1MPG_Cls3,$A50-($A$24-1),MATCH(P$20,TECHOPTS_Cls3,0)))+IFERROR(VLOOKUP($A50,IF($D$5="Central",FuelPriceCent,FuelPriceNCent),MATCH(INDEX($G$11:$G$16,MATCH(P$20,$B$11:$B$16,0)),FuelPriceCols,0),0),0)*((1-J50)*$D$6)/(12*INDEX(FUEL2MPG_Cls3,$A50-($A$24-1),MATCH(P$20,TECHOPTS_Cls3,0)))</f>
        <v>5348.4257087155102</v>
      </c>
      <c r="Q50" s="276" cm="1">
        <f t="array" ref="Q50">VLOOKUP($A50,IF($D$5="Central",FuelPriceCent,FuelPriceNCent),MATCH(Q$21,FuelPriceCols,0),0)*(K50*$D$6)/(12*INDEX(FUEL1MPG_Cls3,$A50-($A$24-1),MATCH(Q$20,TECHOPTS_Cls3,0)))+IFERROR(VLOOKUP($A50,IF($D$5="Central",FuelPriceCent,FuelPriceNCent),MATCH(INDEX($G$11:$G$16,MATCH(Q$20,$B$11:$B$16,0)),FuelPriceCols,0),0),0)*((1-K50)*$D$6)/(12*INDEX(FUEL2MPG_Cls3,$A50-($A$24-1),MATCH(Q$20,TECHOPTS_Cls3,0)))</f>
        <v>6610.1548144370445</v>
      </c>
      <c r="R50" s="276" cm="1">
        <f t="array" ref="R50">VLOOKUP($A50,IF($D$5="Central",FuelPriceCent,FuelPriceNCent),MATCH(R$21,FuelPriceCols,0),0)*(L50*$D$6)/(12*INDEX(FUEL1MPG_Cls3,$A50-($A$24-1),MATCH(R$20,TECHOPTS_Cls3,0)))+IFERROR(VLOOKUP($A50,IF($D$5="Central",FuelPriceCent,FuelPriceNCent),MATCH(INDEX($G$11:$G$16,MATCH(R$20,$B$11:$B$16,0)),FuelPriceCols,0),0),0)*((1-L50)*$D$6)/(12*INDEX(FUEL2MPG_Cls3,$A50-($A$24-1),MATCH(R$20,TECHOPTS_Cls3,0)))</f>
        <v>6197.4463953156774</v>
      </c>
      <c r="S50" s="278" cm="1">
        <f t="array" ref="S50">VLOOKUP($A50,IF($D$5="Central",FuelPriceCent,FuelPriceNCent),MATCH(S$21,FuelPriceCols,0),0)*(M50*$D$6)/(12*INDEX(FUEL1MPG_Cls3,$A50-($A$24-1),MATCH(S$20,TECHOPTS_Cls3,0)))+IFERROR(VLOOKUP($A50,IF($D$5="Central",FuelPriceCent,FuelPriceNCent),MATCH(INDEX($G$11:$G$16,MATCH(S$20,$B$11:$B$16,0)),FuelPriceCols,0),0),0)*((1-M50)*$D$6)/(12*INDEX(FUEL2MPG_Cls3,$A50-($A$24-1),MATCH(S$20,TECHOPTS_Cls3,0)))</f>
        <v>64522.73894625</v>
      </c>
      <c r="T50" s="734">
        <f t="shared" si="30"/>
        <v>102.39444208858458</v>
      </c>
      <c r="U50" s="290">
        <f t="shared" si="31"/>
        <v>2877.0452080273344</v>
      </c>
      <c r="V50" s="290">
        <f t="shared" si="32"/>
        <v>1615.3161023058001</v>
      </c>
      <c r="W50" s="290">
        <f t="shared" si="33"/>
        <v>2028.0245214271672</v>
      </c>
      <c r="X50" s="291">
        <f t="shared" si="34"/>
        <v>-56297.268029507155</v>
      </c>
      <c r="Y50" s="279" cm="1">
        <f t="array" aca="1" ref="Y50" ca="1">IF(AND(Y$22=TRUE,INDEX(CDRANGE_CLS3,MATCH($A50,$A$24:$A$67,0),MATCH(Y$20,$B$20:$G$20,0))&lt;$D$6/OPDAYS_Cls3),86,payback(C50,T50,disc_rate/12,85))</f>
        <v>22</v>
      </c>
      <c r="Z50" s="280" cm="1">
        <f t="array" aca="1" ref="Z50" ca="1">IF(AND(Z$22=TRUE,INDEX(CDRANGE_CLS3,MATCH($A50,$A$24:$A$67,0),MATCH(Z$20,$B$20:$G$20,0))&lt;$D$6/OPDAYS_Cls3),86,payback(D50,U50,disc_rate/12,85))</f>
        <v>3</v>
      </c>
      <c r="AA50" s="280" cm="1">
        <f t="array" ref="AA50">IF(AND(AA$22=TRUE,INDEX(CDRANGE_CLS3,MATCH($A50,$A$24:$A$67,0),MATCH(AA$20,$B$20:$G$20,0))&lt;$D$6/OPDAYS_Cls3),86,payback(E50,V50,disc_rate/12,85))</f>
        <v>86</v>
      </c>
      <c r="AB50" s="280" cm="1">
        <f t="array" aca="1" ref="AB50" ca="1">IF(AND(AB$22=TRUE,INDEX(CDRANGE_CLS3,MATCH($A50,$A$24:$A$67,0),MATCH(AB$20,$B$20:$G$20,0))&lt;$D$6/OPDAYS_Cls3),86,payback(F50,W50,disc_rate/12,85))</f>
        <v>30</v>
      </c>
      <c r="AC50" s="281" cm="1">
        <f t="array" aca="1" ref="AC50" ca="1">IF(AND(AC$22=TRUE,INDEX(CDRANGE_CLS3,MATCH($A50,$A$24:$A$67,0),MATCH(AC$20,$B$20:$G$20,0))&lt;$D$6/OPDAYS_Cls3),86,payback(G50,X50,disc_rate/12,85))</f>
        <v>86</v>
      </c>
      <c r="AD50" s="296">
        <f t="shared" si="35"/>
        <v>0</v>
      </c>
      <c r="AE50" s="297">
        <f t="shared" si="36"/>
        <v>0</v>
      </c>
      <c r="AF50" s="297">
        <f t="shared" si="37"/>
        <v>0</v>
      </c>
      <c r="AG50" s="297">
        <f t="shared" si="38"/>
        <v>0</v>
      </c>
      <c r="AH50" s="298">
        <f t="shared" si="39"/>
        <v>0</v>
      </c>
      <c r="AI50" s="595" cm="1">
        <f t="array" ref="AI50">IF($A50&lt;AI$23,0,AI$21+VLOOKUP($A50-AI$23,SCdata,2,1)*(AI$22-AI$21))*IF($D$5="Non-Central",INDEX(fuel_avail,$A50-$A$24+1,MATCH(O$21,Fuels,0)),1)</f>
        <v>0.49100689501895423</v>
      </c>
      <c r="AJ50" s="300" cm="1">
        <f t="array" ref="AJ50">IF($A50&lt;AJ$23,0,AJ$21+VLOOKUP($A50-AJ$23,SCdata,2,1)*(AJ$22-AJ$21))*IF($D$5="Non-Central",INDEX(fuel_avail,$A50-$A$24+1,MATCH(P$21,Fuels,0)),1)</f>
        <v>0.49100689501895423</v>
      </c>
      <c r="AK50" s="300" cm="1">
        <f t="array" ref="AK50">IF($A50&lt;AK$23,0,AK$21+VLOOKUP($A50-AK$23,SCdata,2,1)*(AK$22-AK$21))*IF($D$5="Non-Central",INDEX(fuel_avail,$A50-$A$24+1,MATCH(Q$21,Fuels,0)),1)</f>
        <v>0.49100689501895423</v>
      </c>
      <c r="AL50" s="300" cm="1">
        <f t="array" ref="AL50">IF($A50&lt;AL$23,0,AL$21+VLOOKUP($A50-AL$23,SCdata,2,1)*(AL$22-AL$21))*IF($D$5="Non-Central",INDEX(fuel_avail,$A50-$A$24+1,MATCH(R$21,Fuels,0)),1)</f>
        <v>0.49100689501895423</v>
      </c>
      <c r="AM50" s="598" cm="1">
        <f t="array" ref="AM50">IF($A50&lt;AM$23,0,AM$21+VLOOKUP($A50-AM$23,SCdata,2,1)*(AM$22-AM$21))*IF($D$5="Non-Central",INDEX(fuel_avail,$A50-$A$24+1,MATCH(S$21,Fuels,0)),1)</f>
        <v>0</v>
      </c>
      <c r="AN50" s="299">
        <f t="shared" si="52"/>
        <v>0.99827803715277141</v>
      </c>
      <c r="AO50" s="300">
        <f t="shared" si="52"/>
        <v>0.98554000912171724</v>
      </c>
      <c r="AP50" s="300">
        <f t="shared" si="52"/>
        <v>1.6040799725107968E-2</v>
      </c>
      <c r="AQ50" s="300">
        <f t="shared" si="52"/>
        <v>0.31407809042045476</v>
      </c>
      <c r="AR50" s="598">
        <f t="shared" si="52"/>
        <v>0</v>
      </c>
      <c r="AS50" s="296">
        <f t="shared" ca="1" si="41"/>
        <v>0.60644733917237603</v>
      </c>
      <c r="AT50" s="297">
        <f t="shared" ca="1" si="42"/>
        <v>0.98201379003790845</v>
      </c>
      <c r="AU50" s="297">
        <f t="shared" si="43"/>
        <v>0</v>
      </c>
      <c r="AV50" s="297">
        <f t="shared" ca="1" si="44"/>
        <v>0.36126268430179587</v>
      </c>
      <c r="AW50" s="298">
        <f t="shared" ca="1" si="45"/>
        <v>0</v>
      </c>
      <c r="AX50" s="296">
        <f t="shared" ca="1" si="46"/>
        <v>0.60540305938552053</v>
      </c>
      <c r="AY50" s="297">
        <f t="shared" ca="1" si="46"/>
        <v>0.96781387959161247</v>
      </c>
      <c r="AZ50" s="297">
        <f t="shared" si="46"/>
        <v>0</v>
      </c>
      <c r="BA50" s="297">
        <f t="shared" ca="1" si="46"/>
        <v>0.11346469402567565</v>
      </c>
      <c r="BB50" s="298">
        <f t="shared" ca="1" si="46"/>
        <v>0</v>
      </c>
      <c r="BC50" s="296">
        <f t="shared" ca="1" si="53"/>
        <v>3.2186120408387531E-2</v>
      </c>
      <c r="BD50" s="297">
        <f t="shared" ca="1" si="47"/>
        <v>0.34737882488079264</v>
      </c>
      <c r="BE50" s="297">
        <f t="shared" ca="1" si="48"/>
        <v>0.55532928514945679</v>
      </c>
      <c r="BF50" s="297">
        <f t="shared" ca="1" si="49"/>
        <v>0</v>
      </c>
      <c r="BG50" s="297">
        <f t="shared" ca="1" si="50"/>
        <v>6.5105769561363061E-2</v>
      </c>
      <c r="BH50" s="298">
        <f t="shared" ca="1" si="51"/>
        <v>0</v>
      </c>
    </row>
    <row r="51" spans="1:60" x14ac:dyDescent="0.2">
      <c r="A51" s="317">
        <v>2034</v>
      </c>
      <c r="B51" s="820" cm="1">
        <f t="array" ref="B51">ROUND(INDEX(COST_Cls3,$A51-($A$24-1),MATCH(B$20,TECHOPTS_Cls3,0)),2)</f>
        <v>84264.4</v>
      </c>
      <c r="C51" s="821" cm="1">
        <f t="array" ref="C51">ROUND(INDEX(COST_Cls3,$A51-($A$24-1),MATCH(C$20,TECHOPTS_Cls3,0)),2)</f>
        <v>2125.33</v>
      </c>
      <c r="D51" s="821" cm="1">
        <f t="array" ref="D51">ROUND(INDEX(COST_Cls3,$A51-($A$24-1),MATCH(D$20,TECHOPTS_Cls3,0)),2)</f>
        <v>6110.74</v>
      </c>
      <c r="E51" s="821" cm="1">
        <f t="array" ref="E51">ROUND(INDEX(COST_Cls3,$A51-($A$24-1),MATCH(E$20,TECHOPTS_Cls3,0)),2)</f>
        <v>101553.45</v>
      </c>
      <c r="F51" s="821" cm="1">
        <f t="array" ref="F51">ROUND(INDEX(COST_Cls3,$A51-($A$24-1),MATCH(F$20,TECHOPTS_Cls3,0)),2)</f>
        <v>54203.91</v>
      </c>
      <c r="G51" s="822" cm="1">
        <f t="array" ref="G51">ROUND(INDEX(COST_Cls3,$A51-($A$24-1),MATCH(G$20,TECHOPTS_Cls3,0)),2)</f>
        <v>1000000</v>
      </c>
      <c r="H51" s="781" cm="1">
        <f t="array" ref="H51">IF(H$21="Single-fuel",1,1-MIN(INDEX(CDRANGE_CLS3,$A51-($A$24-1),MATCH(H$20,TECHOPTS_Cls3,0))*OPDAYS_Cls3/$D$6,1))</f>
        <v>1</v>
      </c>
      <c r="I51" s="782" cm="1">
        <f t="array" ref="I51">IF(I$21="Single-fuel",1,1-MIN(INDEX(CDRANGE_CLS3,$A51-($A$24-1),MATCH(I$20,TECHOPTS_Cls3,0))*OPDAYS_Cls3/$D$6,1))</f>
        <v>1</v>
      </c>
      <c r="J51" s="782" cm="1">
        <f t="array" ref="J51">IF(J$21="Single-fuel",1,1-MIN(INDEX(CDRANGE_CLS3,$A51-($A$24-1),MATCH(J$20,TECHOPTS_Cls3,0))*OPDAYS_Cls3/$D$6,1))</f>
        <v>1</v>
      </c>
      <c r="K51" s="782" cm="1">
        <f t="array" ref="K51">IF(K$21="Single-fuel",1,1-MIN(INDEX(CDRANGE_CLS3,$A51-($A$24-1),MATCH(K$20,TECHOPTS_Cls3,0))*OPDAYS_Cls3/$D$6,1))</f>
        <v>1</v>
      </c>
      <c r="L51" s="782" cm="1">
        <f t="array" ref="L51">IF(L$21="Single-fuel",1,1-MIN(INDEX(CDRANGE_CLS3,$A51-($A$24-1),MATCH(L$20,TECHOPTS_Cls3,0))*OPDAYS_Cls3/$D$6,1))</f>
        <v>1</v>
      </c>
      <c r="M51" s="783" cm="1">
        <f t="array" ref="M51">IF(M$21="Single-fuel",1,1-MIN(INDEX(CDRANGE_CLS3,$A51-($A$24-1),MATCH(M$20,TECHOPTS_Cls3,0))*OPDAYS_Cls3/$D$6,1))</f>
        <v>1</v>
      </c>
      <c r="N51" s="733" cm="1">
        <f t="array" ref="N51">VLOOKUP($A51,IF($D$5="Central",FuelPriceCent,FuelPriceNCent),MATCH(N$21,FuelPriceCols,0),0)*(H51*$D$6)/(12*INDEX(FUEL1MPG_Cls3,$A51-($A$24-1),MATCH(N$20,TECHOPTS_Cls3,0)))+IFERROR(VLOOKUP($A51,IF($D$5="Central",FuelPriceCent,FuelPriceNCent),MATCH(INDEX($G$11:$G$16,MATCH(N$20,$B$11:$B$16,0)),FuelPriceCols,0),0),0)*((1-H51)*$D$6)/(12*INDEX(FUEL2MPG_Cls3,$A51-($A$24-1),MATCH(N$20,TECHOPTS_Cls3,0)))</f>
        <v>8275.021062616197</v>
      </c>
      <c r="O51" s="276" cm="1">
        <f t="array" ref="O51">VLOOKUP($A51,IF($D$5="Central",FuelPriceCent,FuelPriceNCent),MATCH(O$21,FuelPriceCols,0),0)*(I51*$D$6)/(12*INDEX(FUEL1MPG_Cls3,$A51-($A$24-1),MATCH(O$20,TECHOPTS_Cls3,0)))+IFERROR(VLOOKUP($A51,IF($D$5="Central",FuelPriceCent,FuelPriceNCent),MATCH(INDEX($G$11:$G$16,MATCH(O$20,$B$11:$B$16,0)),FuelPriceCols,0),0),0)*((1-I51)*$D$6)/(12*INDEX(FUEL2MPG_Cls3,$A51-($A$24-1),MATCH(O$20,TECHOPTS_Cls3,0)))</f>
        <v>8181.2544830982642</v>
      </c>
      <c r="P51" s="276" cm="1">
        <f t="array" ref="P51">VLOOKUP($A51,IF($D$5="Central",FuelPriceCent,FuelPriceNCent),MATCH(P$21,FuelPriceCols,0),0)*(J51*$D$6)/(12*INDEX(FUEL1MPG_Cls3,$A51-($A$24-1),MATCH(P$20,TECHOPTS_Cls3,0)))+IFERROR(VLOOKUP($A51,IF($D$5="Central",FuelPriceCent,FuelPriceNCent),MATCH(INDEX($G$11:$G$16,MATCH(P$20,$B$11:$B$16,0)),FuelPriceCols,0),0),0)*((1-J51)*$D$6)/(12*INDEX(FUEL2MPG_Cls3,$A51-($A$24-1),MATCH(P$20,TECHOPTS_Cls3,0)))</f>
        <v>5383.6452349103056</v>
      </c>
      <c r="Q51" s="276" cm="1">
        <f t="array" ref="Q51">VLOOKUP($A51,IF($D$5="Central",FuelPriceCent,FuelPriceNCent),MATCH(Q$21,FuelPriceCols,0),0)*(K51*$D$6)/(12*INDEX(FUEL1MPG_Cls3,$A51-($A$24-1),MATCH(Q$20,TECHOPTS_Cls3,0)))+IFERROR(VLOOKUP($A51,IF($D$5="Central",FuelPriceCent,FuelPriceNCent),MATCH(INDEX($G$11:$G$16,MATCH(Q$20,$B$11:$B$16,0)),FuelPriceCols,0),0),0)*((1-K51)*$D$6)/(12*INDEX(FUEL2MPG_Cls3,$A51-($A$24-1),MATCH(Q$20,TECHOPTS_Cls3,0)))</f>
        <v>6616.0163532898405</v>
      </c>
      <c r="R51" s="276" cm="1">
        <f t="array" ref="R51">VLOOKUP($A51,IF($D$5="Central",FuelPriceCent,FuelPriceNCent),MATCH(R$21,FuelPriceCols,0),0)*(L51*$D$6)/(12*INDEX(FUEL1MPG_Cls3,$A51-($A$24-1),MATCH(R$20,TECHOPTS_Cls3,0)))+IFERROR(VLOOKUP($A51,IF($D$5="Central",FuelPriceCent,FuelPriceNCent),MATCH(INDEX($G$11:$G$16,MATCH(R$20,$B$11:$B$16,0)),FuelPriceCols,0),0),0)*((1-L51)*$D$6)/(12*INDEX(FUEL2MPG_Cls3,$A51-($A$24-1),MATCH(R$20,TECHOPTS_Cls3,0)))</f>
        <v>6066.7885469894454</v>
      </c>
      <c r="S51" s="278" cm="1">
        <f t="array" ref="S51">VLOOKUP($A51,IF($D$5="Central",FuelPriceCent,FuelPriceNCent),MATCH(S$21,FuelPriceCols,0),0)*(M51*$D$6)/(12*INDEX(FUEL1MPG_Cls3,$A51-($A$24-1),MATCH(S$20,TECHOPTS_Cls3,0)))+IFERROR(VLOOKUP($A51,IF($D$5="Central",FuelPriceCent,FuelPriceNCent),MATCH(INDEX($G$11:$G$16,MATCH(S$20,$B$11:$B$16,0)),FuelPriceCols,0),0),0)*((1-M51)*$D$6)/(12*INDEX(FUEL2MPG_Cls3,$A51-($A$24-1),MATCH(S$20,TECHOPTS_Cls3,0)))</f>
        <v>65043.397074375003</v>
      </c>
      <c r="T51" s="734">
        <f t="shared" si="30"/>
        <v>93.766579517932769</v>
      </c>
      <c r="U51" s="290">
        <f t="shared" si="31"/>
        <v>2891.3758277058914</v>
      </c>
      <c r="V51" s="290">
        <f t="shared" si="32"/>
        <v>1659.0047093263565</v>
      </c>
      <c r="W51" s="290">
        <f t="shared" si="33"/>
        <v>2208.2325156267516</v>
      </c>
      <c r="X51" s="291">
        <f t="shared" si="34"/>
        <v>-56768.37601175881</v>
      </c>
      <c r="Y51" s="279" cm="1">
        <f t="array" aca="1" ref="Y51" ca="1">IF(AND(Y$22=TRUE,INDEX(CDRANGE_CLS3,MATCH($A51,$A$24:$A$67,0),MATCH(Y$20,$B$20:$G$20,0))&lt;$D$6/OPDAYS_Cls3),86,payback(C51,T51,disc_rate/12,85))</f>
        <v>25</v>
      </c>
      <c r="Z51" s="280" cm="1">
        <f t="array" aca="1" ref="Z51" ca="1">IF(AND(Z$22=TRUE,INDEX(CDRANGE_CLS3,MATCH($A51,$A$24:$A$67,0),MATCH(Z$20,$B$20:$G$20,0))&lt;$D$6/OPDAYS_Cls3),86,payback(D51,U51,disc_rate/12,85))</f>
        <v>3</v>
      </c>
      <c r="AA51" s="280" cm="1">
        <f t="array" ref="AA51">IF(AND(AA$22=TRUE,INDEX(CDRANGE_CLS3,MATCH($A51,$A$24:$A$67,0),MATCH(AA$20,$B$20:$G$20,0))&lt;$D$6/OPDAYS_Cls3),86,payback(E51,V51,disc_rate/12,85))</f>
        <v>86</v>
      </c>
      <c r="AB51" s="280" cm="1">
        <f t="array" aca="1" ref="AB51" ca="1">IF(AND(AB$22=TRUE,INDEX(CDRANGE_CLS3,MATCH($A51,$A$24:$A$67,0),MATCH(AB$20,$B$20:$G$20,0))&lt;$D$6/OPDAYS_Cls3),86,payback(F51,W51,disc_rate/12,85))</f>
        <v>27</v>
      </c>
      <c r="AC51" s="281" cm="1">
        <f t="array" aca="1" ref="AC51" ca="1">IF(AND(AC$22=TRUE,INDEX(CDRANGE_CLS3,MATCH($A51,$A$24:$A$67,0),MATCH(AC$20,$B$20:$G$20,0))&lt;$D$6/OPDAYS_Cls3),86,payback(G51,X51,disc_rate/12,85))</f>
        <v>86</v>
      </c>
      <c r="AD51" s="296">
        <f t="shared" si="35"/>
        <v>0</v>
      </c>
      <c r="AE51" s="297">
        <f t="shared" si="36"/>
        <v>0</v>
      </c>
      <c r="AF51" s="297">
        <f t="shared" si="37"/>
        <v>0</v>
      </c>
      <c r="AG51" s="297">
        <f t="shared" si="38"/>
        <v>0</v>
      </c>
      <c r="AH51" s="298">
        <f t="shared" si="39"/>
        <v>0</v>
      </c>
      <c r="AI51" s="595" cm="1">
        <f t="array" ref="AI51">IF($A51&lt;AI$23,0,AI$21+VLOOKUP($A51-AI$23,SCdata,2,1)*(AI$22-AI$21))*IF($D$5="Non-Central",INDEX(fuel_avail,$A51-$A$24+1,MATCH(O$21,Fuels,0)),1)</f>
        <v>0.49665357453785763</v>
      </c>
      <c r="AJ51" s="300" cm="1">
        <f t="array" ref="AJ51">IF($A51&lt;AJ$23,0,AJ$21+VLOOKUP($A51-AJ$23,SCdata,2,1)*(AJ$22-AJ$21))*IF($D$5="Non-Central",INDEX(fuel_avail,$A51-$A$24+1,MATCH(P$21,Fuels,0)),1)</f>
        <v>0.49665357453785763</v>
      </c>
      <c r="AK51" s="300" cm="1">
        <f t="array" ref="AK51">IF($A51&lt;AK$23,0,AK$21+VLOOKUP($A51-AK$23,SCdata,2,1)*(AK$22-AK$21))*IF($D$5="Non-Central",INDEX(fuel_avail,$A51-$A$24+1,MATCH(Q$21,Fuels,0)),1)</f>
        <v>0.49665357453785763</v>
      </c>
      <c r="AL51" s="300" cm="1">
        <f t="array" ref="AL51">IF($A51&lt;AL$23,0,AL$21+VLOOKUP($A51-AL$23,SCdata,2,1)*(AL$22-AL$21))*IF($D$5="Non-Central",INDEX(fuel_avail,$A51-$A$24+1,MATCH(R$21,Fuels,0)),1)</f>
        <v>0.49665357453785763</v>
      </c>
      <c r="AM51" s="598" cm="1">
        <f t="array" ref="AM51">IF($A51&lt;AM$23,0,AM$21+VLOOKUP($A51-AM$23,SCdata,2,1)*(AM$22-AM$21))*IF($D$5="Non-Central",INDEX(fuel_avail,$A51-$A$24+1,MATCH(S$21,Fuels,0)),1)</f>
        <v>0</v>
      </c>
      <c r="AN51" s="299">
        <f t="shared" si="52"/>
        <v>0.99823445694182122</v>
      </c>
      <c r="AO51" s="300">
        <f t="shared" si="52"/>
        <v>0.98549797747251755</v>
      </c>
      <c r="AP51" s="300">
        <f t="shared" si="52"/>
        <v>1.7693065889512583E-2</v>
      </c>
      <c r="AQ51" s="300">
        <f t="shared" si="52"/>
        <v>0.31682741894285604</v>
      </c>
      <c r="AR51" s="598">
        <f t="shared" si="52"/>
        <v>0</v>
      </c>
      <c r="AS51" s="296">
        <f t="shared" ca="1" si="41"/>
        <v>0.51508192880389592</v>
      </c>
      <c r="AT51" s="297">
        <f t="shared" ca="1" si="42"/>
        <v>0.99330714907571527</v>
      </c>
      <c r="AU51" s="297">
        <f t="shared" si="43"/>
        <v>0</v>
      </c>
      <c r="AV51" s="297">
        <f t="shared" ca="1" si="44"/>
        <v>0.4524568762824252</v>
      </c>
      <c r="AW51" s="298">
        <f t="shared" ca="1" si="45"/>
        <v>0</v>
      </c>
      <c r="AX51" s="296">
        <f t="shared" ca="1" si="46"/>
        <v>0.51417252948010284</v>
      </c>
      <c r="AY51" s="297">
        <f t="shared" ca="1" si="46"/>
        <v>0.97890218642310989</v>
      </c>
      <c r="AZ51" s="297">
        <f t="shared" si="46"/>
        <v>0</v>
      </c>
      <c r="BA51" s="297">
        <f t="shared" ca="1" si="46"/>
        <v>0.14335074429550793</v>
      </c>
      <c r="BB51" s="298">
        <f t="shared" ca="1" si="46"/>
        <v>0</v>
      </c>
      <c r="BC51" s="296">
        <f t="shared" ca="1" si="53"/>
        <v>2.1097813576890223E-2</v>
      </c>
      <c r="BD51" s="297">
        <f t="shared" ca="1" si="47"/>
        <v>0.30757564310057356</v>
      </c>
      <c r="BE51" s="297">
        <f t="shared" ca="1" si="48"/>
        <v>0.58557478717520017</v>
      </c>
      <c r="BF51" s="297">
        <f t="shared" ca="1" si="49"/>
        <v>0</v>
      </c>
      <c r="BG51" s="297">
        <f t="shared" ca="1" si="50"/>
        <v>8.5751756147336045E-2</v>
      </c>
      <c r="BH51" s="298">
        <f t="shared" ca="1" si="51"/>
        <v>0</v>
      </c>
    </row>
    <row r="52" spans="1:60" ht="13.5" thickBot="1" x14ac:dyDescent="0.25">
      <c r="A52" s="302">
        <v>2035</v>
      </c>
      <c r="B52" s="823" cm="1">
        <f t="array" ref="B52">ROUND(INDEX(COST_Cls3,$A52-($A$24-1),MATCH(B$20,TECHOPTS_Cls3,0)),2)</f>
        <v>84301.13</v>
      </c>
      <c r="C52" s="824" cm="1">
        <f t="array" ref="C52">ROUND(INDEX(COST_Cls3,$A52-($A$24-1),MATCH(C$20,TECHOPTS_Cls3,0)),2)</f>
        <v>2146.88</v>
      </c>
      <c r="D52" s="824" cm="1">
        <f t="array" ref="D52">ROUND(INDEX(COST_Cls3,$A52-($A$24-1),MATCH(D$20,TECHOPTS_Cls3,0)),2)</f>
        <v>6119.88</v>
      </c>
      <c r="E52" s="824" cm="1">
        <f t="array" ref="E52">ROUND(INDEX(COST_Cls3,$A52-($A$24-1),MATCH(E$20,TECHOPTS_Cls3,0)),2)</f>
        <v>100621.88</v>
      </c>
      <c r="F52" s="824" cm="1">
        <f t="array" ref="F52">ROUND(INDEX(COST_Cls3,$A52-($A$24-1),MATCH(F$20,TECHOPTS_Cls3,0)),2)</f>
        <v>54060.88</v>
      </c>
      <c r="G52" s="825" cm="1">
        <f t="array" ref="G52">ROUND(INDEX(COST_Cls3,$A52-($A$24-1),MATCH(G$20,TECHOPTS_Cls3,0)),2)</f>
        <v>1000000</v>
      </c>
      <c r="H52" s="781" cm="1">
        <f t="array" ref="H52">IF(H$21="Single-fuel",1,1-MIN(INDEX(CDRANGE_CLS3,$A52-($A$24-1),MATCH(H$20,TECHOPTS_Cls3,0))*OPDAYS_Cls3/$D$6,1))</f>
        <v>1</v>
      </c>
      <c r="I52" s="782" cm="1">
        <f t="array" ref="I52">IF(I$21="Single-fuel",1,1-MIN(INDEX(CDRANGE_CLS3,$A52-($A$24-1),MATCH(I$20,TECHOPTS_Cls3,0))*OPDAYS_Cls3/$D$6,1))</f>
        <v>1</v>
      </c>
      <c r="J52" s="782" cm="1">
        <f t="array" ref="J52">IF(J$21="Single-fuel",1,1-MIN(INDEX(CDRANGE_CLS3,$A52-($A$24-1),MATCH(J$20,TECHOPTS_Cls3,0))*OPDAYS_Cls3/$D$6,1))</f>
        <v>1</v>
      </c>
      <c r="K52" s="782" cm="1">
        <f t="array" ref="K52">IF(K$21="Single-fuel",1,1-MIN(INDEX(CDRANGE_CLS3,$A52-($A$24-1),MATCH(K$20,TECHOPTS_Cls3,0))*OPDAYS_Cls3/$D$6,1))</f>
        <v>1</v>
      </c>
      <c r="L52" s="782" cm="1">
        <f t="array" ref="L52">IF(L$21="Single-fuel",1,1-MIN(INDEX(CDRANGE_CLS3,$A52-($A$24-1),MATCH(L$20,TECHOPTS_Cls3,0))*OPDAYS_Cls3/$D$6,1))</f>
        <v>1</v>
      </c>
      <c r="M52" s="783" cm="1">
        <f t="array" ref="M52">IF(M$21="Single-fuel",1,1-MIN(INDEX(CDRANGE_CLS3,$A52-($A$24-1),MATCH(M$20,TECHOPTS_Cls3,0))*OPDAYS_Cls3/$D$6,1))</f>
        <v>1</v>
      </c>
      <c r="N52" s="883" cm="1">
        <f t="array" ref="N52">VLOOKUP($A52,IF($D$5="Central",FuelPriceCent,FuelPriceNCent),MATCH(N$21,FuelPriceCols,0),0)*(H52*$D$6)/(12*INDEX(FUEL1MPG_Cls3,$A52-($A$24-1),MATCH(N$20,TECHOPTS_Cls3,0)))+IFERROR(VLOOKUP($A52,IF($D$5="Central",FuelPriceCent,FuelPriceNCent),MATCH(INDEX($G$11:$G$16,MATCH(N$20,$B$11:$B$16,0)),FuelPriceCols,0),0),0)*((1-H52)*$D$6)/(12*INDEX(FUEL2MPG_Cls3,$A52-($A$24-1),MATCH(N$20,TECHOPTS_Cls3,0)))</f>
        <v>8332.2244653595808</v>
      </c>
      <c r="O52" s="779" cm="1">
        <f t="array" ref="O52">VLOOKUP($A52,IF($D$5="Central",FuelPriceCent,FuelPriceNCent),MATCH(O$21,FuelPriceCols,0),0)*(I52*$D$6)/(12*INDEX(FUEL1MPG_Cls3,$A52-($A$24-1),MATCH(O$20,TECHOPTS_Cls3,0)))+IFERROR(VLOOKUP($A52,IF($D$5="Central",FuelPriceCent,FuelPriceNCent),MATCH(INDEX($G$11:$G$16,MATCH(O$20,$B$11:$B$16,0)),FuelPriceCols,0),0),0)*((1-I52)*$D$6)/(12*INDEX(FUEL2MPG_Cls3,$A52-($A$24-1),MATCH(O$20,TECHOPTS_Cls3,0)))</f>
        <v>8248.7057809004382</v>
      </c>
      <c r="P52" s="779" cm="1">
        <f t="array" ref="P52">VLOOKUP($A52,IF($D$5="Central",FuelPriceCent,FuelPriceNCent),MATCH(P$21,FuelPriceCols,0),0)*(J52*$D$6)/(12*INDEX(FUEL1MPG_Cls3,$A52-($A$24-1),MATCH(P$20,TECHOPTS_Cls3,0)))+IFERROR(VLOOKUP($A52,IF($D$5="Central",FuelPriceCent,FuelPriceNCent),MATCH(INDEX($G$11:$G$16,MATCH(P$20,$B$11:$B$16,0)),FuelPriceCols,0),0),0)*((1-J52)*$D$6)/(12*INDEX(FUEL2MPG_Cls3,$A52-($A$24-1),MATCH(P$20,TECHOPTS_Cls3,0)))</f>
        <v>5425.584816586118</v>
      </c>
      <c r="Q52" s="779" cm="1">
        <f t="array" ref="Q52">VLOOKUP($A52,IF($D$5="Central",FuelPriceCent,FuelPriceNCent),MATCH(Q$21,FuelPriceCols,0),0)*(K52*$D$6)/(12*INDEX(FUEL1MPG_Cls3,$A52-($A$24-1),MATCH(Q$20,TECHOPTS_Cls3,0)))+IFERROR(VLOOKUP($A52,IF($D$5="Central",FuelPriceCent,FuelPriceNCent),MATCH(INDEX($G$11:$G$16,MATCH(Q$20,$B$11:$B$16,0)),FuelPriceCols,0),0),0)*((1-K52)*$D$6)/(12*INDEX(FUEL2MPG_Cls3,$A52-($A$24-1),MATCH(Q$20,TECHOPTS_Cls3,0)))</f>
        <v>6548.2613744663695</v>
      </c>
      <c r="R52" s="779" cm="1">
        <f t="array" ref="R52">VLOOKUP($A52,IF($D$5="Central",FuelPriceCent,FuelPriceNCent),MATCH(R$21,FuelPriceCols,0),0)*(L52*$D$6)/(12*INDEX(FUEL1MPG_Cls3,$A52-($A$24-1),MATCH(R$20,TECHOPTS_Cls3,0)))+IFERROR(VLOOKUP($A52,IF($D$5="Central",FuelPriceCent,FuelPriceNCent),MATCH(INDEX($G$11:$G$16,MATCH(R$20,$B$11:$B$16,0)),FuelPriceCols,0),0),0)*((1-L52)*$D$6)/(12*INDEX(FUEL2MPG_Cls3,$A52-($A$24-1),MATCH(R$20,TECHOPTS_Cls3,0)))</f>
        <v>5938.0105673953021</v>
      </c>
      <c r="S52" s="780" cm="1">
        <f t="array" ref="S52">VLOOKUP($A52,IF($D$5="Central",FuelPriceCent,FuelPriceNCent),MATCH(S$21,FuelPriceCols,0),0)*(M52*$D$6)/(12*INDEX(FUEL1MPG_Cls3,$A52-($A$24-1),MATCH(S$20,TECHOPTS_Cls3,0)))+IFERROR(VLOOKUP($A52,IF($D$5="Central",FuelPriceCent,FuelPriceNCent),MATCH(INDEX($G$11:$G$16,MATCH(S$20,$B$11:$B$16,0)),FuelPriceCols,0),0),0)*((1-M52)*$D$6)/(12*INDEX(FUEL2MPG_Cls3,$A52-($A$24-1),MATCH(S$20,TECHOPTS_Cls3,0)))</f>
        <v>65626.184133750008</v>
      </c>
      <c r="T52" s="737">
        <f t="shared" si="30"/>
        <v>83.518684459142605</v>
      </c>
      <c r="U52" s="304">
        <f t="shared" si="31"/>
        <v>2906.6396487734628</v>
      </c>
      <c r="V52" s="304">
        <f t="shared" si="32"/>
        <v>1783.9630908932113</v>
      </c>
      <c r="W52" s="304">
        <f t="shared" si="33"/>
        <v>2394.2138979642787</v>
      </c>
      <c r="X52" s="305">
        <f t="shared" si="34"/>
        <v>-57293.959668390424</v>
      </c>
      <c r="Y52" s="888" cm="1">
        <f t="array" aca="1" ref="Y52" ca="1">IF(AND(Y$22=TRUE,INDEX(CDRANGE_CLS3,MATCH($A52,$A$24:$A$67,0),MATCH(Y$20,$B$20:$G$20,0))&lt;$D$6/OPDAYS_Cls3),86,payback(C52,T52,disc_rate/12,85))</f>
        <v>29</v>
      </c>
      <c r="Z52" s="889" cm="1">
        <f t="array" aca="1" ref="Z52" ca="1">IF(AND(Z$22=TRUE,INDEX(CDRANGE_CLS3,MATCH($A52,$A$24:$A$67,0),MATCH(Z$20,$B$20:$G$20,0))&lt;$D$6/OPDAYS_Cls3),86,payback(D52,U52,disc_rate/12,85))</f>
        <v>3</v>
      </c>
      <c r="AA52" s="889" cm="1">
        <f t="array" ref="AA52">IF(AND(AA$22=TRUE,INDEX(CDRANGE_CLS3,MATCH($A52,$A$24:$A$67,0),MATCH(AA$20,$B$20:$G$20,0))&lt;$D$6/OPDAYS_Cls3),86,payback(E52,V52,disc_rate/12,85))</f>
        <v>86</v>
      </c>
      <c r="AB52" s="889" cm="1">
        <f t="array" aca="1" ref="AB52" ca="1">IF(AND(AB$22=TRUE,INDEX(CDRANGE_CLS3,MATCH($A52,$A$24:$A$67,0),MATCH(AB$20,$B$20:$G$20,0))&lt;$D$6/OPDAYS_Cls3),86,payback(F52,W52,disc_rate/12,85))</f>
        <v>25</v>
      </c>
      <c r="AC52" s="890" cm="1">
        <f t="array" aca="1" ref="AC52" ca="1">IF(AND(AC$22=TRUE,INDEX(CDRANGE_CLS3,MATCH($A52,$A$24:$A$67,0),MATCH(AC$20,$B$20:$G$20,0))&lt;$D$6/OPDAYS_Cls3),86,payback(G52,X52,disc_rate/12,85))</f>
        <v>86</v>
      </c>
      <c r="AD52" s="310">
        <f t="shared" si="35"/>
        <v>0</v>
      </c>
      <c r="AE52" s="311">
        <f t="shared" si="36"/>
        <v>0</v>
      </c>
      <c r="AF52" s="311">
        <f t="shared" si="37"/>
        <v>0</v>
      </c>
      <c r="AG52" s="311">
        <f t="shared" si="38"/>
        <v>0</v>
      </c>
      <c r="AH52" s="312">
        <f t="shared" si="39"/>
        <v>0</v>
      </c>
      <c r="AI52" s="596" cm="1">
        <f t="array" ref="AI52">IF($A52&lt;AI$23,0,AI$21+VLOOKUP($A52-AI$23,SCdata,2,1)*(AI$22-AI$21))*IF($D$5="Non-Central",INDEX(fuel_avail,$A52-$A$24+1,MATCH(O$21,Fuels,0)),1)</f>
        <v>0.49876368842168267</v>
      </c>
      <c r="AJ52" s="314" cm="1">
        <f t="array" ref="AJ52">IF($A52&lt;AJ$23,0,AJ$21+VLOOKUP($A52-AJ$23,SCdata,2,1)*(AJ$22-AJ$21))*IF($D$5="Non-Central",INDEX(fuel_avail,$A52-$A$24+1,MATCH(P$21,Fuels,0)),1)</f>
        <v>0.49876368842168267</v>
      </c>
      <c r="AK52" s="314" cm="1">
        <f t="array" ref="AK52">IF($A52&lt;AK$23,0,AK$21+VLOOKUP($A52-AK$23,SCdata,2,1)*(AK$22-AK$21))*IF($D$5="Non-Central",INDEX(fuel_avail,$A52-$A$24+1,MATCH(Q$21,Fuels,0)),1)</f>
        <v>0.49876368842168267</v>
      </c>
      <c r="AL52" s="314" cm="1">
        <f t="array" ref="AL52">IF($A52&lt;AL$23,0,AL$21+VLOOKUP($A52-AL$23,SCdata,2,1)*(AL$22-AL$21))*IF($D$5="Non-Central",INDEX(fuel_avail,$A52-$A$24+1,MATCH(R$21,Fuels,0)),1)</f>
        <v>0.49876368842168267</v>
      </c>
      <c r="AM52" s="599" cm="1">
        <f t="array" ref="AM52">IF($A52&lt;AM$23,0,AM$21+VLOOKUP($A52-AM$23,SCdata,2,1)*(AM$22-AM$21))*IF($D$5="Non-Central",INDEX(fuel_avail,$A52-$A$24+1,MATCH(S$21,Fuels,0)),1)</f>
        <v>0</v>
      </c>
      <c r="AN52" s="313">
        <f t="shared" si="52"/>
        <v>0.99820007211748407</v>
      </c>
      <c r="AO52" s="314">
        <f t="shared" si="52"/>
        <v>0.98546745949334791</v>
      </c>
      <c r="AP52" s="314">
        <f t="shared" si="52"/>
        <v>1.9111765457961449E-2</v>
      </c>
      <c r="AQ52" s="314">
        <f t="shared" si="52"/>
        <v>0.31907022398862295</v>
      </c>
      <c r="AR52" s="599">
        <f t="shared" si="52"/>
        <v>0</v>
      </c>
      <c r="AS52" s="310">
        <f t="shared" ca="1" si="41"/>
        <v>0.39505542732773269</v>
      </c>
      <c r="AT52" s="311">
        <f t="shared" ca="1" si="42"/>
        <v>0.99752737684336534</v>
      </c>
      <c r="AU52" s="311">
        <f t="shared" si="43"/>
        <v>0</v>
      </c>
      <c r="AV52" s="311">
        <f t="shared" ca="1" si="44"/>
        <v>0.51727033856272597</v>
      </c>
      <c r="AW52" s="312">
        <f t="shared" ca="1" si="45"/>
        <v>0</v>
      </c>
      <c r="AX52" s="310">
        <f t="shared" ca="1" si="46"/>
        <v>0.39434435604894624</v>
      </c>
      <c r="AY52" s="311">
        <f t="shared" ca="1" si="46"/>
        <v>0.98303076983289472</v>
      </c>
      <c r="AZ52" s="311">
        <f t="shared" si="46"/>
        <v>0</v>
      </c>
      <c r="BA52" s="311">
        <f t="shared" ca="1" si="46"/>
        <v>0.1650455627878798</v>
      </c>
      <c r="BB52" s="312">
        <f t="shared" ca="1" si="46"/>
        <v>0</v>
      </c>
      <c r="BC52" s="310">
        <f t="shared" ca="1" si="53"/>
        <v>1.6969230167105276E-2</v>
      </c>
      <c r="BD52" s="311">
        <f t="shared" ca="1" si="47"/>
        <v>0.25132743534475566</v>
      </c>
      <c r="BE52" s="311">
        <f t="shared" ca="1" si="48"/>
        <v>0.62651486817885815</v>
      </c>
      <c r="BF52" s="311">
        <f t="shared" ca="1" si="49"/>
        <v>0</v>
      </c>
      <c r="BG52" s="311">
        <f t="shared" ca="1" si="50"/>
        <v>0.10518846630928096</v>
      </c>
      <c r="BH52" s="312">
        <f t="shared" ca="1" si="51"/>
        <v>0</v>
      </c>
    </row>
    <row r="53" spans="1:60" x14ac:dyDescent="0.2">
      <c r="A53" s="316">
        <v>2036</v>
      </c>
      <c r="B53" s="826" cm="1">
        <f t="array" ref="B53">ROUND(INDEX(COST_Cls3,$A53-($A$24-1),MATCH(B$20,TECHOPTS_Cls3,0)),2)</f>
        <v>84307.83</v>
      </c>
      <c r="C53" s="827" cm="1">
        <f t="array" ref="C53">ROUND(INDEX(COST_Cls3,$A53-($A$24-1),MATCH(C$20,TECHOPTS_Cls3,0)),2)</f>
        <v>2108.4699999999998</v>
      </c>
      <c r="D53" s="827" cm="1">
        <f t="array" ref="D53">ROUND(INDEX(COST_Cls3,$A53-($A$24-1),MATCH(D$20,TECHOPTS_Cls3,0)),2)</f>
        <v>5951.61</v>
      </c>
      <c r="E53" s="827" cm="1">
        <f t="array" ref="E53">ROUND(INDEX(COST_Cls3,$A53-($A$24-1),MATCH(E$20,TECHOPTS_Cls3,0)),2)</f>
        <v>98351.27</v>
      </c>
      <c r="F53" s="827" cm="1">
        <f t="array" ref="F53">ROUND(INDEX(COST_Cls3,$A53-($A$24-1),MATCH(F$20,TECHOPTS_Cls3,0)),2)</f>
        <v>53035.34</v>
      </c>
      <c r="G53" s="828" cm="1">
        <f t="array" ref="G53">ROUND(INDEX(COST_Cls3,$A53-($A$24-1),MATCH(G$20,TECHOPTS_Cls3,0)),2)</f>
        <v>1000000</v>
      </c>
      <c r="H53" s="781" cm="1">
        <f t="array" ref="H53">IF(H$21="Single-fuel",1,1-MIN(INDEX(CDRANGE_CLS3,$A53-($A$24-1),MATCH(H$20,TECHOPTS_Cls3,0))*OPDAYS_Cls3/$D$6,1))</f>
        <v>1</v>
      </c>
      <c r="I53" s="782" cm="1">
        <f t="array" ref="I53">IF(I$21="Single-fuel",1,1-MIN(INDEX(CDRANGE_CLS3,$A53-($A$24-1),MATCH(I$20,TECHOPTS_Cls3,0))*OPDAYS_Cls3/$D$6,1))</f>
        <v>1</v>
      </c>
      <c r="J53" s="782" cm="1">
        <f t="array" ref="J53">IF(J$21="Single-fuel",1,1-MIN(INDEX(CDRANGE_CLS3,$A53-($A$24-1),MATCH(J$20,TECHOPTS_Cls3,0))*OPDAYS_Cls3/$D$6,1))</f>
        <v>1</v>
      </c>
      <c r="K53" s="782" cm="1">
        <f t="array" ref="K53">IF(K$21="Single-fuel",1,1-MIN(INDEX(CDRANGE_CLS3,$A53-($A$24-1),MATCH(K$20,TECHOPTS_Cls3,0))*OPDAYS_Cls3/$D$6,1))</f>
        <v>1</v>
      </c>
      <c r="L53" s="782" cm="1">
        <f t="array" ref="L53">IF(L$21="Single-fuel",1,1-MIN(INDEX(CDRANGE_CLS3,$A53-($A$24-1),MATCH(L$20,TECHOPTS_Cls3,0))*OPDAYS_Cls3/$D$6,1))</f>
        <v>1</v>
      </c>
      <c r="M53" s="783" cm="1">
        <f t="array" ref="M53">IF(M$21="Single-fuel",1,1-MIN(INDEX(CDRANGE_CLS3,$A53-($A$24-1),MATCH(M$20,TECHOPTS_Cls3,0))*OPDAYS_Cls3/$D$6,1))</f>
        <v>1</v>
      </c>
      <c r="N53" s="733" cm="1">
        <f t="array" ref="N53">VLOOKUP($A53,IF($D$5="Central",FuelPriceCent,FuelPriceNCent),MATCH(N$21,FuelPriceCols,0),0)*(H53*$D$6)/(12*INDEX(FUEL1MPG_Cls3,$A53-($A$24-1),MATCH(N$20,TECHOPTS_Cls3,0)))+IFERROR(VLOOKUP($A53,IF($D$5="Central",FuelPriceCent,FuelPriceNCent),MATCH(INDEX($G$11:$G$16,MATCH(N$20,$B$11:$B$16,0)),FuelPriceCols,0),0),0)*((1-H53)*$D$6)/(12*INDEX(FUEL2MPG_Cls3,$A53-($A$24-1),MATCH(N$20,TECHOPTS_Cls3,0)))</f>
        <v>8416.1068547025825</v>
      </c>
      <c r="O53" s="276" cm="1">
        <f t="array" ref="O53">VLOOKUP($A53,IF($D$5="Central",FuelPriceCent,FuelPriceNCent),MATCH(O$21,FuelPriceCols,0),0)*(I53*$D$6)/(12*INDEX(FUEL1MPG_Cls3,$A53-($A$24-1),MATCH(O$20,TECHOPTS_Cls3,0)))+IFERROR(VLOOKUP($A53,IF($D$5="Central",FuelPriceCent,FuelPriceNCent),MATCH(INDEX($G$11:$G$16,MATCH(O$20,$B$11:$B$16,0)),FuelPriceCols,0),0),0)*((1-I53)*$D$6)/(12*INDEX(FUEL2MPG_Cls3,$A53-($A$24-1),MATCH(O$20,TECHOPTS_Cls3,0)))</f>
        <v>8287.1867125521967</v>
      </c>
      <c r="P53" s="276" cm="1">
        <f t="array" ref="P53">VLOOKUP($A53,IF($D$5="Central",FuelPriceCent,FuelPriceNCent),MATCH(P$21,FuelPriceCols,0),0)*(J53*$D$6)/(12*INDEX(FUEL1MPG_Cls3,$A53-($A$24-1),MATCH(P$20,TECHOPTS_Cls3,0)))+IFERROR(VLOOKUP($A53,IF($D$5="Central",FuelPriceCent,FuelPriceNCent),MATCH(INDEX($G$11:$G$16,MATCH(P$20,$B$11:$B$16,0)),FuelPriceCols,0),0),0)*((1-J53)*$D$6)/(12*INDEX(FUEL2MPG_Cls3,$A53-($A$24-1),MATCH(P$20,TECHOPTS_Cls3,0)))</f>
        <v>5428.1053016146452</v>
      </c>
      <c r="Q53" s="276" cm="1">
        <f t="array" ref="Q53">VLOOKUP($A53,IF($D$5="Central",FuelPriceCent,FuelPriceNCent),MATCH(Q$21,FuelPriceCols,0),0)*(K53*$D$6)/(12*INDEX(FUEL1MPG_Cls3,$A53-($A$24-1),MATCH(Q$20,TECHOPTS_Cls3,0)))+IFERROR(VLOOKUP($A53,IF($D$5="Central",FuelPriceCent,FuelPriceNCent),MATCH(INDEX($G$11:$G$16,MATCH(Q$20,$B$11:$B$16,0)),FuelPriceCols,0),0),0)*((1-K53)*$D$6)/(12*INDEX(FUEL2MPG_Cls3,$A53-($A$24-1),MATCH(Q$20,TECHOPTS_Cls3,0)))</f>
        <v>6438.5673204714867</v>
      </c>
      <c r="R53" s="276" cm="1">
        <f t="array" ref="R53">VLOOKUP($A53,IF($D$5="Central",FuelPriceCent,FuelPriceNCent),MATCH(R$21,FuelPriceCols,0),0)*(L53*$D$6)/(12*INDEX(FUEL1MPG_Cls3,$A53-($A$24-1),MATCH(R$20,TECHOPTS_Cls3,0)))+IFERROR(VLOOKUP($A53,IF($D$5="Central",FuelPriceCent,FuelPriceNCent),MATCH(INDEX($G$11:$G$16,MATCH(R$20,$B$11:$B$16,0)),FuelPriceCols,0),0),0)*((1-L53)*$D$6)/(12*INDEX(FUEL2MPG_Cls3,$A53-($A$24-1),MATCH(R$20,TECHOPTS_Cls3,0)))</f>
        <v>5749.7229355806185</v>
      </c>
      <c r="S53" s="278" cm="1">
        <f t="array" ref="S53">VLOOKUP($A53,IF($D$5="Central",FuelPriceCent,FuelPriceNCent),MATCH(S$21,FuelPriceCols,0),0)*(M53*$D$6)/(12*INDEX(FUEL1MPG_Cls3,$A53-($A$24-1),MATCH(S$20,TECHOPTS_Cls3,0)))+IFERROR(VLOOKUP($A53,IF($D$5="Central",FuelPriceCent,FuelPriceNCent),MATCH(INDEX($G$11:$G$16,MATCH(S$20,$B$11:$B$16,0)),FuelPriceCols,0),0),0)*((1-M53)*$D$6)/(12*INDEX(FUEL2MPG_Cls3,$A53-($A$24-1),MATCH(S$20,TECHOPTS_Cls3,0)))</f>
        <v>66292.505868749999</v>
      </c>
      <c r="T53" s="733">
        <f t="shared" si="30"/>
        <v>128.9201421503858</v>
      </c>
      <c r="U53" s="276">
        <f t="shared" si="31"/>
        <v>2988.0015530879373</v>
      </c>
      <c r="V53" s="276">
        <f t="shared" si="32"/>
        <v>1977.5395342310958</v>
      </c>
      <c r="W53" s="276">
        <f t="shared" si="33"/>
        <v>2666.383919121964</v>
      </c>
      <c r="X53" s="277">
        <f t="shared" si="34"/>
        <v>-57876.39901404742</v>
      </c>
      <c r="Y53" s="279" cm="1">
        <f t="array" aca="1" ref="Y53" ca="1">IF(AND(Y$22=TRUE,INDEX(CDRANGE_CLS3,MATCH($A53,$A$24:$A$67,0),MATCH(Y$20,$B$20:$G$20,0))&lt;$D$6/OPDAYS_Cls3),86,payback(C53,T53,disc_rate/12,85))</f>
        <v>18</v>
      </c>
      <c r="Z53" s="280" cm="1">
        <f t="array" aca="1" ref="Z53" ca="1">IF(AND(Z$22=TRUE,INDEX(CDRANGE_CLS3,MATCH($A53,$A$24:$A$67,0),MATCH(Z$20,$B$20:$G$20,0))&lt;$D$6/OPDAYS_Cls3),86,payback(D53,U53,disc_rate/12,85))</f>
        <v>3</v>
      </c>
      <c r="AA53" s="280" cm="1">
        <f t="array" ref="AA53">IF(AND(AA$22=TRUE,INDEX(CDRANGE_CLS3,MATCH($A53,$A$24:$A$67,0),MATCH(AA$20,$B$20:$G$20,0))&lt;$D$6/OPDAYS_Cls3),86,payback(E53,V53,disc_rate/12,85))</f>
        <v>86</v>
      </c>
      <c r="AB53" s="280" cm="1">
        <f t="array" aca="1" ref="AB53" ca="1">IF(AND(AB$22=TRUE,INDEX(CDRANGE_CLS3,MATCH($A53,$A$24:$A$67,0),MATCH(AB$20,$B$20:$G$20,0))&lt;$D$6/OPDAYS_Cls3),86,payback(F53,W53,disc_rate/12,85))</f>
        <v>22</v>
      </c>
      <c r="AC53" s="281" cm="1">
        <f t="array" aca="1" ref="AC53" ca="1">IF(AND(AC$22=TRUE,INDEX(CDRANGE_CLS3,MATCH($A53,$A$24:$A$67,0),MATCH(AC$20,$B$20:$G$20,0))&lt;$D$6/OPDAYS_Cls3),86,payback(G53,X53,disc_rate/12,85))</f>
        <v>86</v>
      </c>
      <c r="AD53" s="282">
        <f t="shared" si="35"/>
        <v>0</v>
      </c>
      <c r="AE53" s="283">
        <f t="shared" si="36"/>
        <v>0</v>
      </c>
      <c r="AF53" s="283">
        <f t="shared" si="37"/>
        <v>0</v>
      </c>
      <c r="AG53" s="283">
        <f t="shared" si="38"/>
        <v>0</v>
      </c>
      <c r="AH53" s="284">
        <f t="shared" si="39"/>
        <v>0</v>
      </c>
      <c r="AI53" s="594" cm="1">
        <f t="array" ref="AI53">IF($A53&lt;AI$23,0,AI$21+VLOOKUP($A53-AI$23,SCdata,2,1)*(AI$22-AI$21))*IF($D$5="Non-Central",INDEX(fuel_avail,$A53-$A$24+1,MATCH(O$21,Fuels,0)),1)</f>
        <v>0.4995444744027997</v>
      </c>
      <c r="AJ53" s="286" cm="1">
        <f t="array" ref="AJ53">IF($A53&lt;AJ$23,0,AJ$21+VLOOKUP($A53-AJ$23,SCdata,2,1)*(AJ$22-AJ$21))*IF($D$5="Non-Central",INDEX(fuel_avail,$A53-$A$24+1,MATCH(P$21,Fuels,0)),1)</f>
        <v>0.4995444744027997</v>
      </c>
      <c r="AK53" s="286" cm="1">
        <f t="array" ref="AK53">IF($A53&lt;AK$23,0,AK$21+VLOOKUP($A53-AK$23,SCdata,2,1)*(AK$22-AK$21))*IF($D$5="Non-Central",INDEX(fuel_avail,$A53-$A$24+1,MATCH(Q$21,Fuels,0)),1)</f>
        <v>0.4995444744027997</v>
      </c>
      <c r="AL53" s="286" cm="1">
        <f t="array" ref="AL53">IF($A53&lt;AL$23,0,AL$21+VLOOKUP($A53-AL$23,SCdata,2,1)*(AL$22-AL$21))*IF($D$5="Non-Central",INDEX(fuel_avail,$A53-$A$24+1,MATCH(R$21,Fuels,0)),1)</f>
        <v>0.4995444744027997</v>
      </c>
      <c r="AM53" s="611" cm="1">
        <f t="array" ref="AM53">IF($A53&lt;AM$23,0,AM$21+VLOOKUP($A53-AM$23,SCdata,2,1)*(AM$22-AM$21))*IF($D$5="Non-Central",INDEX(fuel_avail,$A53-$A$24+1,MATCH(S$21,Fuels,0)),1)</f>
        <v>0</v>
      </c>
      <c r="AN53" s="285">
        <f t="shared" si="52"/>
        <v>0.99826412153645838</v>
      </c>
      <c r="AO53" s="286">
        <f t="shared" si="52"/>
        <v>0.9862523615436728</v>
      </c>
      <c r="AP53" s="286">
        <f t="shared" si="52"/>
        <v>2.2816768102095097E-2</v>
      </c>
      <c r="AQ53" s="286">
        <f t="shared" si="52"/>
        <v>0.33312427294704727</v>
      </c>
      <c r="AR53" s="611">
        <f t="shared" si="52"/>
        <v>0</v>
      </c>
      <c r="AS53" s="282">
        <f t="shared" ca="1" si="41"/>
        <v>0.74969707412909414</v>
      </c>
      <c r="AT53" s="283">
        <f t="shared" ca="1" si="42"/>
        <v>0.9990889488055994</v>
      </c>
      <c r="AU53" s="283">
        <f t="shared" si="43"/>
        <v>0</v>
      </c>
      <c r="AV53" s="283">
        <f t="shared" ca="1" si="44"/>
        <v>0.6169921855947591</v>
      </c>
      <c r="AW53" s="284">
        <f t="shared" ca="1" si="45"/>
        <v>0</v>
      </c>
      <c r="AX53" s="282">
        <f t="shared" ca="1" si="46"/>
        <v>0.74839569112393334</v>
      </c>
      <c r="AY53" s="283">
        <f t="shared" ca="1" si="46"/>
        <v>0.98535383515170805</v>
      </c>
      <c r="AZ53" s="283">
        <f t="shared" si="46"/>
        <v>0</v>
      </c>
      <c r="BA53" s="283">
        <f t="shared" ca="1" si="46"/>
        <v>0.20553507324026377</v>
      </c>
      <c r="BB53" s="284">
        <f t="shared" ca="1" si="46"/>
        <v>0</v>
      </c>
      <c r="BC53" s="282">
        <f t="shared" ca="1" si="53"/>
        <v>1.4646164848292065E-2</v>
      </c>
      <c r="BD53" s="283">
        <f t="shared" ca="1" si="47"/>
        <v>0.3802611358044421</v>
      </c>
      <c r="BE53" s="283">
        <f t="shared" ca="1" si="48"/>
        <v>0.5006599756892548</v>
      </c>
      <c r="BF53" s="283">
        <f t="shared" ca="1" si="49"/>
        <v>0</v>
      </c>
      <c r="BG53" s="283">
        <f t="shared" ca="1" si="50"/>
        <v>0.10443272365801101</v>
      </c>
      <c r="BH53" s="284">
        <f t="shared" ca="1" si="51"/>
        <v>0</v>
      </c>
    </row>
    <row r="54" spans="1:60" x14ac:dyDescent="0.2">
      <c r="A54" s="317">
        <v>2037</v>
      </c>
      <c r="B54" s="820" cm="1">
        <f t="array" ref="B54">ROUND(INDEX(COST_Cls3,$A54-($A$24-1),MATCH(B$20,TECHOPTS_Cls3,0)),2)</f>
        <v>84319.91</v>
      </c>
      <c r="C54" s="821" cm="1">
        <f t="array" ref="C54">ROUND(INDEX(COST_Cls3,$A54-($A$24-1),MATCH(C$20,TECHOPTS_Cls3,0)),2)</f>
        <v>2084.61</v>
      </c>
      <c r="D54" s="821" cm="1">
        <f t="array" ref="D54">ROUND(INDEX(COST_Cls3,$A54-($A$24-1),MATCH(D$20,TECHOPTS_Cls3,0)),2)</f>
        <v>5847.05</v>
      </c>
      <c r="E54" s="821" cm="1">
        <f t="array" ref="E54">ROUND(INDEX(COST_Cls3,$A54-($A$24-1),MATCH(E$20,TECHOPTS_Cls3,0)),2)</f>
        <v>96940.28</v>
      </c>
      <c r="F54" s="821" cm="1">
        <f t="array" ref="F54">ROUND(INDEX(COST_Cls3,$A54-($A$24-1),MATCH(F$20,TECHOPTS_Cls3,0)),2)</f>
        <v>52398.06</v>
      </c>
      <c r="G54" s="822" cm="1">
        <f t="array" ref="G54">ROUND(INDEX(COST_Cls3,$A54-($A$24-1),MATCH(G$20,TECHOPTS_Cls3,0)),2)</f>
        <v>1000000</v>
      </c>
      <c r="H54" s="781" cm="1">
        <f t="array" ref="H54">IF(H$21="Single-fuel",1,1-MIN(INDEX(CDRANGE_CLS3,$A54-($A$24-1),MATCH(H$20,TECHOPTS_Cls3,0))*OPDAYS_Cls3/$D$6,1))</f>
        <v>1</v>
      </c>
      <c r="I54" s="782" cm="1">
        <f t="array" ref="I54">IF(I$21="Single-fuel",1,1-MIN(INDEX(CDRANGE_CLS3,$A54-($A$24-1),MATCH(I$20,TECHOPTS_Cls3,0))*OPDAYS_Cls3/$D$6,1))</f>
        <v>1</v>
      </c>
      <c r="J54" s="782" cm="1">
        <f t="array" ref="J54">IF(J$21="Single-fuel",1,1-MIN(INDEX(CDRANGE_CLS3,$A54-($A$24-1),MATCH(J$20,TECHOPTS_Cls3,0))*OPDAYS_Cls3/$D$6,1))</f>
        <v>1</v>
      </c>
      <c r="K54" s="782" cm="1">
        <f t="array" ref="K54">IF(K$21="Single-fuel",1,1-MIN(INDEX(CDRANGE_CLS3,$A54-($A$24-1),MATCH(K$20,TECHOPTS_Cls3,0))*OPDAYS_Cls3/$D$6,1))</f>
        <v>1</v>
      </c>
      <c r="L54" s="782" cm="1">
        <f t="array" ref="L54">IF(L$21="Single-fuel",1,1-MIN(INDEX(CDRANGE_CLS3,$A54-($A$24-1),MATCH(L$20,TECHOPTS_Cls3,0))*OPDAYS_Cls3/$D$6,1))</f>
        <v>1</v>
      </c>
      <c r="M54" s="783" cm="1">
        <f t="array" ref="M54">IF(M$21="Single-fuel",1,1-MIN(INDEX(CDRANGE_CLS3,$A54-($A$24-1),MATCH(M$20,TECHOPTS_Cls3,0))*OPDAYS_Cls3/$D$6,1))</f>
        <v>1</v>
      </c>
      <c r="N54" s="733" cm="1">
        <f t="array" ref="N54">VLOOKUP($A54,IF($D$5="Central",FuelPriceCent,FuelPriceNCent),MATCH(N$21,FuelPriceCols,0),0)*(H54*$D$6)/(12*INDEX(FUEL1MPG_Cls3,$A54-($A$24-1),MATCH(N$20,TECHOPTS_Cls3,0)))+IFERROR(VLOOKUP($A54,IF($D$5="Central",FuelPriceCent,FuelPriceNCent),MATCH(INDEX($G$11:$G$16,MATCH(N$20,$B$11:$B$16,0)),FuelPriceCols,0),0),0)*((1-H54)*$D$6)/(12*INDEX(FUEL2MPG_Cls3,$A54-($A$24-1),MATCH(N$20,TECHOPTS_Cls3,0)))</f>
        <v>8471.994350759931</v>
      </c>
      <c r="O54" s="276" cm="1">
        <f t="array" ref="O54">VLOOKUP($A54,IF($D$5="Central",FuelPriceCent,FuelPriceNCent),MATCH(O$21,FuelPriceCols,0),0)*(I54*$D$6)/(12*INDEX(FUEL1MPG_Cls3,$A54-($A$24-1),MATCH(O$20,TECHOPTS_Cls3,0)))+IFERROR(VLOOKUP($A54,IF($D$5="Central",FuelPriceCent,FuelPriceNCent),MATCH(INDEX($G$11:$G$16,MATCH(O$20,$B$11:$B$16,0)),FuelPriceCols,0),0),0)*((1-I54)*$D$6)/(12*INDEX(FUEL2MPG_Cls3,$A54-($A$24-1),MATCH(O$20,TECHOPTS_Cls3,0)))</f>
        <v>8315.4239345276783</v>
      </c>
      <c r="P54" s="276" cm="1">
        <f t="array" ref="P54">VLOOKUP($A54,IF($D$5="Central",FuelPriceCent,FuelPriceNCent),MATCH(P$21,FuelPriceCols,0),0)*(J54*$D$6)/(12*INDEX(FUEL1MPG_Cls3,$A54-($A$24-1),MATCH(P$20,TECHOPTS_Cls3,0)))+IFERROR(VLOOKUP($A54,IF($D$5="Central",FuelPriceCent,FuelPriceNCent),MATCH(INDEX($G$11:$G$16,MATCH(P$20,$B$11:$B$16,0)),FuelPriceCols,0),0),0)*((1-J54)*$D$6)/(12*INDEX(FUEL2MPG_Cls3,$A54-($A$24-1),MATCH(P$20,TECHOPTS_Cls3,0)))</f>
        <v>5432.6097774767504</v>
      </c>
      <c r="Q54" s="276" cm="1">
        <f t="array" ref="Q54">VLOOKUP($A54,IF($D$5="Central",FuelPriceCent,FuelPriceNCent),MATCH(Q$21,FuelPriceCols,0),0)*(K54*$D$6)/(12*INDEX(FUEL1MPG_Cls3,$A54-($A$24-1),MATCH(Q$20,TECHOPTS_Cls3,0)))+IFERROR(VLOOKUP($A54,IF($D$5="Central",FuelPriceCent,FuelPriceNCent),MATCH(INDEX($G$11:$G$16,MATCH(Q$20,$B$11:$B$16,0)),FuelPriceCols,0),0),0)*((1-K54)*$D$6)/(12*INDEX(FUEL2MPG_Cls3,$A54-($A$24-1),MATCH(Q$20,TECHOPTS_Cls3,0)))</f>
        <v>6365.800694227024</v>
      </c>
      <c r="R54" s="276" cm="1">
        <f t="array" ref="R54">VLOOKUP($A54,IF($D$5="Central",FuelPriceCent,FuelPriceNCent),MATCH(R$21,FuelPriceCols,0),0)*(L54*$D$6)/(12*INDEX(FUEL1MPG_Cls3,$A54-($A$24-1),MATCH(R$20,TECHOPTS_Cls3,0)))+IFERROR(VLOOKUP($A54,IF($D$5="Central",FuelPriceCent,FuelPriceNCent),MATCH(INDEX($G$11:$G$16,MATCH(R$20,$B$11:$B$16,0)),FuelPriceCols,0),0),0)*((1-L54)*$D$6)/(12*INDEX(FUEL2MPG_Cls3,$A54-($A$24-1),MATCH(R$20,TECHOPTS_Cls3,0)))</f>
        <v>5589.1692797519281</v>
      </c>
      <c r="S54" s="278" cm="1">
        <f t="array" ref="S54">VLOOKUP($A54,IF($D$5="Central",FuelPriceCent,FuelPriceNCent),MATCH(S$21,FuelPriceCols,0),0)*(M54*$D$6)/(12*INDEX(FUEL1MPG_Cls3,$A54-($A$24-1),MATCH(S$20,TECHOPTS_Cls3,0)))+IFERROR(VLOOKUP($A54,IF($D$5="Central",FuelPriceCent,FuelPriceNCent),MATCH(INDEX($G$11:$G$16,MATCH(S$20,$B$11:$B$16,0)),FuelPriceCols,0),0),0)*((1-M54)*$D$6)/(12*INDEX(FUEL2MPG_Cls3,$A54-($A$24-1),MATCH(S$20,TECHOPTS_Cls3,0)))</f>
        <v>66742.965326249992</v>
      </c>
      <c r="T54" s="734">
        <f t="shared" si="30"/>
        <v>156.57041623225268</v>
      </c>
      <c r="U54" s="290">
        <f t="shared" si="31"/>
        <v>3039.3845732831805</v>
      </c>
      <c r="V54" s="290">
        <f t="shared" si="32"/>
        <v>2106.193656532907</v>
      </c>
      <c r="W54" s="290">
        <f t="shared" si="33"/>
        <v>2882.8250710080029</v>
      </c>
      <c r="X54" s="291">
        <f t="shared" si="34"/>
        <v>-58270.970975490061</v>
      </c>
      <c r="Y54" s="279" cm="1">
        <f t="array" aca="1" ref="Y54" ca="1">IF(AND(Y$22=TRUE,INDEX(CDRANGE_CLS3,MATCH($A54,$A$24:$A$67,0),MATCH(Y$20,$B$20:$G$20,0))&lt;$D$6/OPDAYS_Cls3),86,payback(C54,T54,disc_rate/12,85))</f>
        <v>14</v>
      </c>
      <c r="Z54" s="280" cm="1">
        <f t="array" aca="1" ref="Z54" ca="1">IF(AND(Z$22=TRUE,INDEX(CDRANGE_CLS3,MATCH($A54,$A$24:$A$67,0),MATCH(Z$20,$B$20:$G$20,0))&lt;$D$6/OPDAYS_Cls3),86,payback(D54,U54,disc_rate/12,85))</f>
        <v>2</v>
      </c>
      <c r="AA54" s="280" cm="1">
        <f t="array" ref="AA54">IF(AND(AA$22=TRUE,INDEX(CDRANGE_CLS3,MATCH($A54,$A$24:$A$67,0),MATCH(AA$20,$B$20:$G$20,0))&lt;$D$6/OPDAYS_Cls3),86,payback(E54,V54,disc_rate/12,85))</f>
        <v>86</v>
      </c>
      <c r="AB54" s="280" cm="1">
        <f t="array" aca="1" ref="AB54" ca="1">IF(AND(AB$22=TRUE,INDEX(CDRANGE_CLS3,MATCH($A54,$A$24:$A$67,0),MATCH(AB$20,$B$20:$G$20,0))&lt;$D$6/OPDAYS_Cls3),86,payback(F54,W54,disc_rate/12,85))</f>
        <v>20</v>
      </c>
      <c r="AC54" s="281" cm="1">
        <f t="array" aca="1" ref="AC54" ca="1">IF(AND(AC$22=TRUE,INDEX(CDRANGE_CLS3,MATCH($A54,$A$24:$A$67,0),MATCH(AC$20,$B$20:$G$20,0))&lt;$D$6/OPDAYS_Cls3),86,payback(G54,X54,disc_rate/12,85))</f>
        <v>86</v>
      </c>
      <c r="AD54" s="296">
        <f t="shared" si="35"/>
        <v>0</v>
      </c>
      <c r="AE54" s="297">
        <f t="shared" si="36"/>
        <v>0</v>
      </c>
      <c r="AF54" s="297">
        <f t="shared" si="37"/>
        <v>0</v>
      </c>
      <c r="AG54" s="297">
        <f t="shared" si="38"/>
        <v>0</v>
      </c>
      <c r="AH54" s="298">
        <f t="shared" si="39"/>
        <v>0</v>
      </c>
      <c r="AI54" s="595" cm="1">
        <f t="array" ref="AI54">IF($A54&lt;AI$23,0,AI$21+VLOOKUP($A54-AI$23,SCdata,2,1)*(AI$22-AI$21))*IF($D$5="Non-Central",INDEX(fuel_avail,$A54-$A$24+1,MATCH(O$21,Fuels,0)),1)</f>
        <v>0.49983232493476681</v>
      </c>
      <c r="AJ54" s="300" cm="1">
        <f t="array" ref="AJ54">IF($A54&lt;AJ$23,0,AJ$21+VLOOKUP($A54-AJ$23,SCdata,2,1)*(AJ$22-AJ$21))*IF($D$5="Non-Central",INDEX(fuel_avail,$A54-$A$24+1,MATCH(P$21,Fuels,0)),1)</f>
        <v>0.49983232493476681</v>
      </c>
      <c r="AK54" s="300" cm="1">
        <f t="array" ref="AK54">IF($A54&lt;AK$23,0,AK$21+VLOOKUP($A54-AK$23,SCdata,2,1)*(AK$22-AK$21))*IF($D$5="Non-Central",INDEX(fuel_avail,$A54-$A$24+1,MATCH(Q$21,Fuels,0)),1)</f>
        <v>0.49983232493476681</v>
      </c>
      <c r="AL54" s="300" cm="1">
        <f t="array" ref="AL54">IF($A54&lt;AL$23,0,AL$21+VLOOKUP($A54-AL$23,SCdata,2,1)*(AL$22-AL$21))*IF($D$5="Non-Central",INDEX(fuel_avail,$A54-$A$24+1,MATCH(R$21,Fuels,0)),1)</f>
        <v>0.49983232493476681</v>
      </c>
      <c r="AM54" s="598" cm="1">
        <f t="array" ref="AM54">IF($A54&lt;AM$23,0,AM$21+VLOOKUP($A54-AM$23,SCdata,2,1)*(AM$22-AM$21))*IF($D$5="Non-Central",INDEX(fuel_avail,$A54-$A$24+1,MATCH(S$21,Fuels,0)),1)</f>
        <v>0</v>
      </c>
      <c r="AN54" s="299">
        <f t="shared" si="52"/>
        <v>0.99830363914011677</v>
      </c>
      <c r="AO54" s="300">
        <f t="shared" si="52"/>
        <v>0.98673175061327689</v>
      </c>
      <c r="AP54" s="300">
        <f t="shared" si="52"/>
        <v>2.5437802678789145E-2</v>
      </c>
      <c r="AQ54" s="300">
        <f t="shared" si="52"/>
        <v>0.34209262895704418</v>
      </c>
      <c r="AR54" s="598">
        <f t="shared" si="52"/>
        <v>0</v>
      </c>
      <c r="AS54" s="296">
        <f t="shared" ca="1" si="41"/>
        <v>0.87044565164162824</v>
      </c>
      <c r="AT54" s="297">
        <f t="shared" ca="1" si="42"/>
        <v>0.99966464986953363</v>
      </c>
      <c r="AU54" s="297">
        <f t="shared" si="43"/>
        <v>0</v>
      </c>
      <c r="AV54" s="297">
        <f t="shared" ca="1" si="44"/>
        <v>0.68430946962833761</v>
      </c>
      <c r="AW54" s="298">
        <f t="shared" ca="1" si="45"/>
        <v>0</v>
      </c>
      <c r="AX54" s="296">
        <f t="shared" ca="1" si="46"/>
        <v>0.86896906170752786</v>
      </c>
      <c r="AY54" s="297">
        <f t="shared" ca="1" si="46"/>
        <v>0.98640084999197342</v>
      </c>
      <c r="AZ54" s="297">
        <f t="shared" si="46"/>
        <v>0</v>
      </c>
      <c r="BA54" s="297">
        <f t="shared" ca="1" si="46"/>
        <v>0.23409722548535858</v>
      </c>
      <c r="BB54" s="298">
        <f t="shared" ca="1" si="46"/>
        <v>0</v>
      </c>
      <c r="BC54" s="296">
        <f t="shared" ca="1" si="53"/>
        <v>1.3599150008026695E-2</v>
      </c>
      <c r="BD54" s="297">
        <f t="shared" ca="1" si="47"/>
        <v>0.41022507883989695</v>
      </c>
      <c r="BE54" s="297">
        <f t="shared" ca="1" si="48"/>
        <v>0.46566256992000027</v>
      </c>
      <c r="BF54" s="297">
        <f t="shared" ca="1" si="49"/>
        <v>0</v>
      </c>
      <c r="BG54" s="297">
        <f t="shared" ca="1" si="50"/>
        <v>0.11051320123207609</v>
      </c>
      <c r="BH54" s="298">
        <f t="shared" ca="1" si="51"/>
        <v>0</v>
      </c>
    </row>
    <row r="55" spans="1:60" x14ac:dyDescent="0.2">
      <c r="A55" s="317">
        <v>2038</v>
      </c>
      <c r="B55" s="820" cm="1">
        <f t="array" ref="B55">ROUND(INDEX(COST_Cls3,$A55-($A$24-1),MATCH(B$20,TECHOPTS_Cls3,0)),2)</f>
        <v>84329.39</v>
      </c>
      <c r="C55" s="821" cm="1">
        <f t="array" ref="C55">ROUND(INDEX(COST_Cls3,$A55-($A$24-1),MATCH(C$20,TECHOPTS_Cls3,0)),2)</f>
        <v>2046.95</v>
      </c>
      <c r="D55" s="821" cm="1">
        <f t="array" ref="D55">ROUND(INDEX(COST_Cls3,$A55-($A$24-1),MATCH(D$20,TECHOPTS_Cls3,0)),2)</f>
        <v>5682.01</v>
      </c>
      <c r="E55" s="821" cm="1">
        <f t="array" ref="E55">ROUND(INDEX(COST_Cls3,$A55-($A$24-1),MATCH(E$20,TECHOPTS_Cls3,0)),2)</f>
        <v>94713.27</v>
      </c>
      <c r="F55" s="821" cm="1">
        <f t="array" ref="F55">ROUND(INDEX(COST_Cls3,$A55-($A$24-1),MATCH(F$20,TECHOPTS_Cls3,0)),2)</f>
        <v>51392.21</v>
      </c>
      <c r="G55" s="822" cm="1">
        <f t="array" ref="G55">ROUND(INDEX(COST_Cls3,$A55-($A$24-1),MATCH(G$20,TECHOPTS_Cls3,0)),2)</f>
        <v>1000000</v>
      </c>
      <c r="H55" s="781" cm="1">
        <f t="array" ref="H55">IF(H$21="Single-fuel",1,1-MIN(INDEX(CDRANGE_CLS3,$A55-($A$24-1),MATCH(H$20,TECHOPTS_Cls3,0))*OPDAYS_Cls3/$D$6,1))</f>
        <v>1</v>
      </c>
      <c r="I55" s="782" cm="1">
        <f t="array" ref="I55">IF(I$21="Single-fuel",1,1-MIN(INDEX(CDRANGE_CLS3,$A55-($A$24-1),MATCH(I$20,TECHOPTS_Cls3,0))*OPDAYS_Cls3/$D$6,1))</f>
        <v>1</v>
      </c>
      <c r="J55" s="782" cm="1">
        <f t="array" ref="J55">IF(J$21="Single-fuel",1,1-MIN(INDEX(CDRANGE_CLS3,$A55-($A$24-1),MATCH(J$20,TECHOPTS_Cls3,0))*OPDAYS_Cls3/$D$6,1))</f>
        <v>1</v>
      </c>
      <c r="K55" s="782" cm="1">
        <f t="array" ref="K55">IF(K$21="Single-fuel",1,1-MIN(INDEX(CDRANGE_CLS3,$A55-($A$24-1),MATCH(K$20,TECHOPTS_Cls3,0))*OPDAYS_Cls3/$D$6,1))</f>
        <v>1</v>
      </c>
      <c r="L55" s="782" cm="1">
        <f t="array" ref="L55">IF(L$21="Single-fuel",1,1-MIN(INDEX(CDRANGE_CLS3,$A55-($A$24-1),MATCH(L$20,TECHOPTS_Cls3,0))*OPDAYS_Cls3/$D$6,1))</f>
        <v>1</v>
      </c>
      <c r="M55" s="783" cm="1">
        <f t="array" ref="M55">IF(M$21="Single-fuel",1,1-MIN(INDEX(CDRANGE_CLS3,$A55-($A$24-1),MATCH(M$20,TECHOPTS_Cls3,0))*OPDAYS_Cls3/$D$6,1))</f>
        <v>1</v>
      </c>
      <c r="N55" s="733" cm="1">
        <f t="array" ref="N55">VLOOKUP($A55,IF($D$5="Central",FuelPriceCent,FuelPriceNCent),MATCH(N$21,FuelPriceCols,0),0)*(H55*$D$6)/(12*INDEX(FUEL1MPG_Cls3,$A55-($A$24-1),MATCH(N$20,TECHOPTS_Cls3,0)))+IFERROR(VLOOKUP($A55,IF($D$5="Central",FuelPriceCent,FuelPriceNCent),MATCH(INDEX($G$11:$G$16,MATCH(N$20,$B$11:$B$16,0)),FuelPriceCols,0),0),0)*((1-H55)*$D$6)/(12*INDEX(FUEL2MPG_Cls3,$A55-($A$24-1),MATCH(N$20,TECHOPTS_Cls3,0)))</f>
        <v>8542.5624574428766</v>
      </c>
      <c r="O55" s="276" cm="1">
        <f t="array" ref="O55">VLOOKUP($A55,IF($D$5="Central",FuelPriceCent,FuelPriceNCent),MATCH(O$21,FuelPriceCols,0),0)*(I55*$D$6)/(12*INDEX(FUEL1MPG_Cls3,$A55-($A$24-1),MATCH(O$20,TECHOPTS_Cls3,0)))+IFERROR(VLOOKUP($A55,IF($D$5="Central",FuelPriceCent,FuelPriceNCent),MATCH(INDEX($G$11:$G$16,MATCH(O$20,$B$11:$B$16,0)),FuelPriceCols,0),0),0)*((1-I55)*$D$6)/(12*INDEX(FUEL2MPG_Cls3,$A55-($A$24-1),MATCH(O$20,TECHOPTS_Cls3,0)))</f>
        <v>8341.3987315895665</v>
      </c>
      <c r="P55" s="276" cm="1">
        <f t="array" ref="P55">VLOOKUP($A55,IF($D$5="Central",FuelPriceCent,FuelPriceNCent),MATCH(P$21,FuelPriceCols,0),0)*(J55*$D$6)/(12*INDEX(FUEL1MPG_Cls3,$A55-($A$24-1),MATCH(P$20,TECHOPTS_Cls3,0)))+IFERROR(VLOOKUP($A55,IF($D$5="Central",FuelPriceCent,FuelPriceNCent),MATCH(INDEX($G$11:$G$16,MATCH(P$20,$B$11:$B$16,0)),FuelPriceCols,0),0),0)*((1-J55)*$D$6)/(12*INDEX(FUEL2MPG_Cls3,$A55-($A$24-1),MATCH(P$20,TECHOPTS_Cls3,0)))</f>
        <v>5427.7636565691255</v>
      </c>
      <c r="Q55" s="276" cm="1">
        <f t="array" ref="Q55">VLOOKUP($A55,IF($D$5="Central",FuelPriceCent,FuelPriceNCent),MATCH(Q$21,FuelPriceCols,0),0)*(K55*$D$6)/(12*INDEX(FUEL1MPG_Cls3,$A55-($A$24-1),MATCH(Q$20,TECHOPTS_Cls3,0)))+IFERROR(VLOOKUP($A55,IF($D$5="Central",FuelPriceCent,FuelPriceNCent),MATCH(INDEX($G$11:$G$16,MATCH(Q$20,$B$11:$B$16,0)),FuelPriceCols,0),0),0)*((1-K55)*$D$6)/(12*INDEX(FUEL2MPG_Cls3,$A55-($A$24-1),MATCH(Q$20,TECHOPTS_Cls3,0)))</f>
        <v>6257.6353150244668</v>
      </c>
      <c r="R55" s="276" cm="1">
        <f t="array" ref="R55">VLOOKUP($A55,IF($D$5="Central",FuelPriceCent,FuelPriceNCent),MATCH(R$21,FuelPriceCols,0),0)*(L55*$D$6)/(12*INDEX(FUEL1MPG_Cls3,$A55-($A$24-1),MATCH(R$20,TECHOPTS_Cls3,0)))+IFERROR(VLOOKUP($A55,IF($D$5="Central",FuelPriceCent,FuelPriceNCent),MATCH(INDEX($G$11:$G$16,MATCH(R$20,$B$11:$B$16,0)),FuelPriceCols,0),0),0)*((1-L55)*$D$6)/(12*INDEX(FUEL2MPG_Cls3,$A55-($A$24-1),MATCH(R$20,TECHOPTS_Cls3,0)))</f>
        <v>5409.2578022804391</v>
      </c>
      <c r="S55" s="278" cm="1">
        <f t="array" ref="S55">VLOOKUP($A55,IF($D$5="Central",FuelPriceCent,FuelPriceNCent),MATCH(S$21,FuelPriceCols,0),0)*(M55*$D$6)/(12*INDEX(FUEL1MPG_Cls3,$A55-($A$24-1),MATCH(S$20,TECHOPTS_Cls3,0)))+IFERROR(VLOOKUP($A55,IF($D$5="Central",FuelPriceCent,FuelPriceNCent),MATCH(INDEX($G$11:$G$16,MATCH(S$20,$B$11:$B$16,0)),FuelPriceCols,0),0),0)*((1-M55)*$D$6)/(12*INDEX(FUEL2MPG_Cls3,$A55-($A$24-1),MATCH(S$20,TECHOPTS_Cls3,0)))</f>
        <v>67307.014882499992</v>
      </c>
      <c r="T55" s="734">
        <f t="shared" si="30"/>
        <v>201.1637258533101</v>
      </c>
      <c r="U55" s="290">
        <f t="shared" si="31"/>
        <v>3114.7988008737511</v>
      </c>
      <c r="V55" s="290">
        <f t="shared" si="32"/>
        <v>2284.9271424184099</v>
      </c>
      <c r="W55" s="290">
        <f t="shared" si="33"/>
        <v>3133.3046551624375</v>
      </c>
      <c r="X55" s="291">
        <f t="shared" si="34"/>
        <v>-58764.452425057112</v>
      </c>
      <c r="Y55" s="279" cm="1">
        <f t="array" aca="1" ref="Y55" ca="1">IF(AND(Y$22=TRUE,INDEX(CDRANGE_CLS3,MATCH($A55,$A$24:$A$67,0),MATCH(Y$20,$B$20:$G$20,0))&lt;$D$6/OPDAYS_Cls3),86,payback(C55,T55,disc_rate/12,85))</f>
        <v>11</v>
      </c>
      <c r="Z55" s="280" cm="1">
        <f t="array" aca="1" ref="Z55" ca="1">IF(AND(Z$22=TRUE,INDEX(CDRANGE_CLS3,MATCH($A55,$A$24:$A$67,0),MATCH(Z$20,$B$20:$G$20,0))&lt;$D$6/OPDAYS_Cls3),86,payback(D55,U55,disc_rate/12,85))</f>
        <v>2</v>
      </c>
      <c r="AA55" s="280" cm="1">
        <f t="array" ref="AA55">IF(AND(AA$22=TRUE,INDEX(CDRANGE_CLS3,MATCH($A55,$A$24:$A$67,0),MATCH(AA$20,$B$20:$G$20,0))&lt;$D$6/OPDAYS_Cls3),86,payback(E55,V55,disc_rate/12,85))</f>
        <v>86</v>
      </c>
      <c r="AB55" s="280" cm="1">
        <f t="array" aca="1" ref="AB55" ca="1">IF(AND(AB$22=TRUE,INDEX(CDRANGE_CLS3,MATCH($A55,$A$24:$A$67,0),MATCH(AB$20,$B$20:$G$20,0))&lt;$D$6/OPDAYS_Cls3),86,payback(F55,W55,disc_rate/12,85))</f>
        <v>18</v>
      </c>
      <c r="AC55" s="281" cm="1">
        <f t="array" aca="1" ref="AC55" ca="1">IF(AND(AC$22=TRUE,INDEX(CDRANGE_CLS3,MATCH($A55,$A$24:$A$67,0),MATCH(AC$20,$B$20:$G$20,0))&lt;$D$6/OPDAYS_Cls3),86,payback(G55,X55,disc_rate/12,85))</f>
        <v>86</v>
      </c>
      <c r="AD55" s="296">
        <f t="shared" si="35"/>
        <v>0</v>
      </c>
      <c r="AE55" s="297">
        <f t="shared" si="36"/>
        <v>0</v>
      </c>
      <c r="AF55" s="297">
        <f t="shared" si="37"/>
        <v>0</v>
      </c>
      <c r="AG55" s="297">
        <f t="shared" si="38"/>
        <v>0</v>
      </c>
      <c r="AH55" s="298">
        <f t="shared" si="39"/>
        <v>0</v>
      </c>
      <c r="AI55" s="595" cm="1">
        <f t="array" ref="AI55">IF($A55&lt;AI$23,0,AI$21+VLOOKUP($A55-AI$23,SCdata,2,1)*(AI$22-AI$21))*IF($D$5="Non-Central",INDEX(fuel_avail,$A55-$A$24+1,MATCH(O$21,Fuels,0)),1)</f>
        <v>0.49993830271200684</v>
      </c>
      <c r="AJ55" s="300" cm="1">
        <f t="array" ref="AJ55">IF($A55&lt;AJ$23,0,AJ$21+VLOOKUP($A55-AJ$23,SCdata,2,1)*(AJ$22-AJ$21))*IF($D$5="Non-Central",INDEX(fuel_avail,$A55-$A$24+1,MATCH(P$21,Fuels,0)),1)</f>
        <v>0.49993830271200684</v>
      </c>
      <c r="AK55" s="300" cm="1">
        <f t="array" ref="AK55">IF($A55&lt;AK$23,0,AK$21+VLOOKUP($A55-AK$23,SCdata,2,1)*(AK$22-AK$21))*IF($D$5="Non-Central",INDEX(fuel_avail,$A55-$A$24+1,MATCH(Q$21,Fuels,0)),1)</f>
        <v>0.49993830271200684</v>
      </c>
      <c r="AL55" s="300" cm="1">
        <f t="array" ref="AL55">IF($A55&lt;AL$23,0,AL$21+VLOOKUP($A55-AL$23,SCdata,2,1)*(AL$22-AL$21))*IF($D$5="Non-Central",INDEX(fuel_avail,$A55-$A$24+1,MATCH(R$21,Fuels,0)),1)</f>
        <v>0.49993830271200684</v>
      </c>
      <c r="AM55" s="598" cm="1">
        <f t="array" ref="AM55">IF($A55&lt;AM$23,0,AM$21+VLOOKUP($A55-AM$23,SCdata,2,1)*(AM$22-AM$21))*IF($D$5="Non-Central",INDEX(fuel_avail,$A55-$A$24+1,MATCH(S$21,Fuels,0)),1)</f>
        <v>0</v>
      </c>
      <c r="AN55" s="299">
        <f t="shared" si="52"/>
        <v>0.99836469521947435</v>
      </c>
      <c r="AO55" s="300">
        <f t="shared" si="52"/>
        <v>0.98746835624365614</v>
      </c>
      <c r="AP55" s="300">
        <f t="shared" si="52"/>
        <v>3.0077527717535801E-2</v>
      </c>
      <c r="AQ55" s="300">
        <f t="shared" si="52"/>
        <v>0.35641687198817018</v>
      </c>
      <c r="AR55" s="598">
        <f t="shared" si="52"/>
        <v>0</v>
      </c>
      <c r="AS55" s="296">
        <f t="shared" ca="1" si="41"/>
        <v>0.94221614744634519</v>
      </c>
      <c r="AT55" s="297">
        <f t="shared" ca="1" si="42"/>
        <v>0.99987660542401369</v>
      </c>
      <c r="AU55" s="297">
        <f t="shared" si="43"/>
        <v>0</v>
      </c>
      <c r="AV55" s="297">
        <f t="shared" ca="1" si="44"/>
        <v>0.75028811646116034</v>
      </c>
      <c r="AW55" s="298">
        <f t="shared" ca="1" si="45"/>
        <v>0</v>
      </c>
      <c r="AX55" s="296">
        <f t="shared" ca="1" si="46"/>
        <v>0.94067533687613769</v>
      </c>
      <c r="AY55" s="297">
        <f t="shared" ca="1" si="46"/>
        <v>0.9873465080045376</v>
      </c>
      <c r="AZ55" s="297">
        <f t="shared" si="46"/>
        <v>0</v>
      </c>
      <c r="BA55" s="297">
        <f t="shared" ca="1" si="46"/>
        <v>0.26741534355898272</v>
      </c>
      <c r="BB55" s="298">
        <f t="shared" ca="1" si="46"/>
        <v>0</v>
      </c>
      <c r="BC55" s="296">
        <f t="shared" ca="1" si="53"/>
        <v>1.2653491995462396E-2</v>
      </c>
      <c r="BD55" s="297">
        <f t="shared" ca="1" si="47"/>
        <v>0.42304672341400218</v>
      </c>
      <c r="BE55" s="297">
        <f t="shared" ca="1" si="48"/>
        <v>0.44403599064549071</v>
      </c>
      <c r="BF55" s="297">
        <f t="shared" ca="1" si="49"/>
        <v>0</v>
      </c>
      <c r="BG55" s="297">
        <f t="shared" ca="1" si="50"/>
        <v>0.12026379394504469</v>
      </c>
      <c r="BH55" s="298">
        <f t="shared" ca="1" si="51"/>
        <v>0</v>
      </c>
    </row>
    <row r="56" spans="1:60" x14ac:dyDescent="0.2">
      <c r="A56" s="317">
        <v>2039</v>
      </c>
      <c r="B56" s="820" cm="1">
        <f t="array" ref="B56">ROUND(INDEX(COST_Cls3,$A56-($A$24-1),MATCH(B$20,TECHOPTS_Cls3,0)),2)</f>
        <v>84340.18</v>
      </c>
      <c r="C56" s="821" cm="1">
        <f t="array" ref="C56">ROUND(INDEX(COST_Cls3,$A56-($A$24-1),MATCH(C$20,TECHOPTS_Cls3,0)),2)</f>
        <v>1989.04</v>
      </c>
      <c r="D56" s="821" cm="1">
        <f t="array" ref="D56">ROUND(INDEX(COST_Cls3,$A56-($A$24-1),MATCH(D$20,TECHOPTS_Cls3,0)),2)</f>
        <v>5428.27</v>
      </c>
      <c r="E56" s="821" cm="1">
        <f t="array" ref="E56">ROUND(INDEX(COST_Cls3,$A56-($A$24-1),MATCH(E$20,TECHOPTS_Cls3,0)),2)</f>
        <v>91289.18</v>
      </c>
      <c r="F56" s="821" cm="1">
        <f t="array" ref="F56">ROUND(INDEX(COST_Cls3,$A56-($A$24-1),MATCH(F$20,TECHOPTS_Cls3,0)),2)</f>
        <v>49845.7</v>
      </c>
      <c r="G56" s="822" cm="1">
        <f t="array" ref="G56">ROUND(INDEX(COST_Cls3,$A56-($A$24-1),MATCH(G$20,TECHOPTS_Cls3,0)),2)</f>
        <v>1000000</v>
      </c>
      <c r="H56" s="781" cm="1">
        <f t="array" ref="H56">IF(H$21="Single-fuel",1,1-MIN(INDEX(CDRANGE_CLS3,$A56-($A$24-1),MATCH(H$20,TECHOPTS_Cls3,0))*OPDAYS_Cls3/$D$6,1))</f>
        <v>1</v>
      </c>
      <c r="I56" s="782" cm="1">
        <f t="array" ref="I56">IF(I$21="Single-fuel",1,1-MIN(INDEX(CDRANGE_CLS3,$A56-($A$24-1),MATCH(I$20,TECHOPTS_Cls3,0))*OPDAYS_Cls3/$D$6,1))</f>
        <v>1</v>
      </c>
      <c r="J56" s="782" cm="1">
        <f t="array" ref="J56">IF(J$21="Single-fuel",1,1-MIN(INDEX(CDRANGE_CLS3,$A56-($A$24-1),MATCH(J$20,TECHOPTS_Cls3,0))*OPDAYS_Cls3/$D$6,1))</f>
        <v>1</v>
      </c>
      <c r="K56" s="782" cm="1">
        <f t="array" ref="K56">IF(K$21="Single-fuel",1,1-MIN(INDEX(CDRANGE_CLS3,$A56-($A$24-1),MATCH(K$20,TECHOPTS_Cls3,0))*OPDAYS_Cls3/$D$6,1))</f>
        <v>1</v>
      </c>
      <c r="L56" s="782" cm="1">
        <f t="array" ref="L56">IF(L$21="Single-fuel",1,1-MIN(INDEX(CDRANGE_CLS3,$A56-($A$24-1),MATCH(L$20,TECHOPTS_Cls3,0))*OPDAYS_Cls3/$D$6,1))</f>
        <v>1</v>
      </c>
      <c r="M56" s="783" cm="1">
        <f t="array" ref="M56">IF(M$21="Single-fuel",1,1-MIN(INDEX(CDRANGE_CLS3,$A56-($A$24-1),MATCH(M$20,TECHOPTS_Cls3,0))*OPDAYS_Cls3/$D$6,1))</f>
        <v>1</v>
      </c>
      <c r="N56" s="733" cm="1">
        <f t="array" ref="N56">VLOOKUP($A56,IF($D$5="Central",FuelPriceCent,FuelPriceNCent),MATCH(N$21,FuelPriceCols,0),0)*(H56*$D$6)/(12*INDEX(FUEL1MPG_Cls3,$A56-($A$24-1),MATCH(N$20,TECHOPTS_Cls3,0)))+IFERROR(VLOOKUP($A56,IF($D$5="Central",FuelPriceCent,FuelPriceNCent),MATCH(INDEX($G$11:$G$16,MATCH(N$20,$B$11:$B$16,0)),FuelPriceCols,0),0),0)*((1-H56)*$D$6)/(12*INDEX(FUEL2MPG_Cls3,$A56-($A$24-1),MATCH(N$20,TECHOPTS_Cls3,0)))</f>
        <v>8614.7732211691728</v>
      </c>
      <c r="O56" s="276" cm="1">
        <f t="array" ref="O56">VLOOKUP($A56,IF($D$5="Central",FuelPriceCent,FuelPriceNCent),MATCH(O$21,FuelPriceCols,0),0)*(I56*$D$6)/(12*INDEX(FUEL1MPG_Cls3,$A56-($A$24-1),MATCH(O$20,TECHOPTS_Cls3,0)))+IFERROR(VLOOKUP($A56,IF($D$5="Central",FuelPriceCent,FuelPriceNCent),MATCH(INDEX($G$11:$G$16,MATCH(O$20,$B$11:$B$16,0)),FuelPriceCols,0),0),0)*((1-I56)*$D$6)/(12*INDEX(FUEL2MPG_Cls3,$A56-($A$24-1),MATCH(O$20,TECHOPTS_Cls3,0)))</f>
        <v>8345.278406105921</v>
      </c>
      <c r="P56" s="276" cm="1">
        <f t="array" ref="P56">VLOOKUP($A56,IF($D$5="Central",FuelPriceCent,FuelPriceNCent),MATCH(P$21,FuelPriceCols,0),0)*(J56*$D$6)/(12*INDEX(FUEL1MPG_Cls3,$A56-($A$24-1),MATCH(P$20,TECHOPTS_Cls3,0)))+IFERROR(VLOOKUP($A56,IF($D$5="Central",FuelPriceCent,FuelPriceNCent),MATCH(INDEX($G$11:$G$16,MATCH(P$20,$B$11:$B$16,0)),FuelPriceCols,0),0),0)*((1-J56)*$D$6)/(12*INDEX(FUEL2MPG_Cls3,$A56-($A$24-1),MATCH(P$20,TECHOPTS_Cls3,0)))</f>
        <v>5397.5078392222231</v>
      </c>
      <c r="Q56" s="276" cm="1">
        <f t="array" ref="Q56">VLOOKUP($A56,IF($D$5="Central",FuelPriceCent,FuelPriceNCent),MATCH(Q$21,FuelPriceCols,0),0)*(K56*$D$6)/(12*INDEX(FUEL1MPG_Cls3,$A56-($A$24-1),MATCH(Q$20,TECHOPTS_Cls3,0)))+IFERROR(VLOOKUP($A56,IF($D$5="Central",FuelPriceCent,FuelPriceNCent),MATCH(INDEX($G$11:$G$16,MATCH(Q$20,$B$11:$B$16,0)),FuelPriceCols,0),0),0)*((1-K56)*$D$6)/(12*INDEX(FUEL2MPG_Cls3,$A56-($A$24-1),MATCH(Q$20,TECHOPTS_Cls3,0)))</f>
        <v>6058.1581406143159</v>
      </c>
      <c r="R56" s="276" cm="1">
        <f t="array" ref="R56">VLOOKUP($A56,IF($D$5="Central",FuelPriceCent,FuelPriceNCent),MATCH(R$21,FuelPriceCols,0),0)*(L56*$D$6)/(12*INDEX(FUEL1MPG_Cls3,$A56-($A$24-1),MATCH(R$20,TECHOPTS_Cls3,0)))+IFERROR(VLOOKUP($A56,IF($D$5="Central",FuelPriceCent,FuelPriceNCent),MATCH(INDEX($G$11:$G$16,MATCH(R$20,$B$11:$B$16,0)),FuelPriceCols,0),0),0)*((1-L56)*$D$6)/(12*INDEX(FUEL2MPG_Cls3,$A56-($A$24-1),MATCH(R$20,TECHOPTS_Cls3,0)))</f>
        <v>5203.2106525158615</v>
      </c>
      <c r="S56" s="278" cm="1">
        <f t="array" ref="S56">VLOOKUP($A56,IF($D$5="Central",FuelPriceCent,FuelPriceNCent),MATCH(S$21,FuelPriceCols,0),0)*(M56*$D$6)/(12*INDEX(FUEL1MPG_Cls3,$A56-($A$24-1),MATCH(S$20,TECHOPTS_Cls3,0)))+IFERROR(VLOOKUP($A56,IF($D$5="Central",FuelPriceCent,FuelPriceNCent),MATCH(INDEX($G$11:$G$16,MATCH(S$20,$B$11:$B$16,0)),FuelPriceCols,0),0),0)*((1-M56)*$D$6)/(12*INDEX(FUEL2MPG_Cls3,$A56-($A$24-1),MATCH(S$20,TECHOPTS_Cls3,0)))</f>
        <v>67885.266451874995</v>
      </c>
      <c r="T56" s="734">
        <f t="shared" si="30"/>
        <v>269.49481506325174</v>
      </c>
      <c r="U56" s="290">
        <f t="shared" si="31"/>
        <v>3217.2653819469497</v>
      </c>
      <c r="V56" s="290">
        <f t="shared" si="32"/>
        <v>2556.6150805548568</v>
      </c>
      <c r="W56" s="290">
        <f t="shared" si="33"/>
        <v>3411.5625686533112</v>
      </c>
      <c r="X56" s="291">
        <f t="shared" si="34"/>
        <v>-59270.493230705819</v>
      </c>
      <c r="Y56" s="279" cm="1">
        <f t="array" aca="1" ref="Y56" ca="1">IF(AND(Y$22=TRUE,INDEX(CDRANGE_CLS3,MATCH($A56,$A$24:$A$67,0),MATCH(Y$20,$B$20:$G$20,0))&lt;$D$6/OPDAYS_Cls3),86,payback(C56,T56,disc_rate/12,85))</f>
        <v>8</v>
      </c>
      <c r="Z56" s="280" cm="1">
        <f t="array" aca="1" ref="Z56" ca="1">IF(AND(Z$22=TRUE,INDEX(CDRANGE_CLS3,MATCH($A56,$A$24:$A$67,0),MATCH(Z$20,$B$20:$G$20,0))&lt;$D$6/OPDAYS_Cls3),86,payback(D56,U56,disc_rate/12,85))</f>
        <v>2</v>
      </c>
      <c r="AA56" s="280" cm="1">
        <f t="array" ref="AA56">IF(AND(AA$22=TRUE,INDEX(CDRANGE_CLS3,MATCH($A56,$A$24:$A$67,0),MATCH(AA$20,$B$20:$G$20,0))&lt;$D$6/OPDAYS_Cls3),86,payback(E56,V56,disc_rate/12,85))</f>
        <v>86</v>
      </c>
      <c r="AB56" s="280" cm="1">
        <f t="array" aca="1" ref="AB56" ca="1">IF(AND(AB$22=TRUE,INDEX(CDRANGE_CLS3,MATCH($A56,$A$24:$A$67,0),MATCH(AB$20,$B$20:$G$20,0))&lt;$D$6/OPDAYS_Cls3),86,payback(F56,W56,disc_rate/12,85))</f>
        <v>16</v>
      </c>
      <c r="AC56" s="281" cm="1">
        <f t="array" aca="1" ref="AC56" ca="1">IF(AND(AC$22=TRUE,INDEX(CDRANGE_CLS3,MATCH($A56,$A$24:$A$67,0),MATCH(AC$20,$B$20:$G$20,0))&lt;$D$6/OPDAYS_Cls3),86,payback(G56,X56,disc_rate/12,85))</f>
        <v>86</v>
      </c>
      <c r="AD56" s="296">
        <f t="shared" si="35"/>
        <v>0</v>
      </c>
      <c r="AE56" s="297">
        <f t="shared" si="36"/>
        <v>0</v>
      </c>
      <c r="AF56" s="297">
        <f t="shared" si="37"/>
        <v>0</v>
      </c>
      <c r="AG56" s="297">
        <f t="shared" si="38"/>
        <v>0</v>
      </c>
      <c r="AH56" s="298">
        <f t="shared" si="39"/>
        <v>0</v>
      </c>
      <c r="AI56" s="595" cm="1">
        <f t="array" ref="AI56">IF($A56&lt;AI$23,0,AI$21+VLOOKUP($A56-AI$23,SCdata,2,1)*(AI$22-AI$21))*IF($D$5="Non-Central",INDEX(fuel_avail,$A56-$A$24+1,MATCH(O$21,Fuels,0)),1)</f>
        <v>0.4999773010656488</v>
      </c>
      <c r="AJ56" s="300" cm="1">
        <f t="array" ref="AJ56">IF($A56&lt;AJ$23,0,AJ$21+VLOOKUP($A56-AJ$23,SCdata,2,1)*(AJ$22-AJ$21))*IF($D$5="Non-Central",INDEX(fuel_avail,$A56-$A$24+1,MATCH(P$21,Fuels,0)),1)</f>
        <v>0.4999773010656488</v>
      </c>
      <c r="AK56" s="300" cm="1">
        <f t="array" ref="AK56">IF($A56&lt;AK$23,0,AK$21+VLOOKUP($A56-AK$23,SCdata,2,1)*(AK$22-AK$21))*IF($D$5="Non-Central",INDEX(fuel_avail,$A56-$A$24+1,MATCH(Q$21,Fuels,0)),1)</f>
        <v>0.4999773010656488</v>
      </c>
      <c r="AL56" s="300" cm="1">
        <f t="array" ref="AL56">IF($A56&lt;AL$23,0,AL$21+VLOOKUP($A56-AL$23,SCdata,2,1)*(AL$22-AL$21))*IF($D$5="Non-Central",INDEX(fuel_avail,$A56-$A$24+1,MATCH(R$21,Fuels,0)),1)</f>
        <v>0.4999773010656488</v>
      </c>
      <c r="AM56" s="598" cm="1">
        <f t="array" ref="AM56">IF($A56&lt;AM$23,0,AM$21+VLOOKUP($A56-AM$23,SCdata,2,1)*(AM$22-AM$21))*IF($D$5="Non-Central",INDEX(fuel_avail,$A56-$A$24+1,MATCH(S$21,Fuels,0)),1)</f>
        <v>0</v>
      </c>
      <c r="AN56" s="299">
        <f t="shared" si="52"/>
        <v>0.99845623906530356</v>
      </c>
      <c r="AO56" s="300">
        <f t="shared" si="52"/>
        <v>0.9885592346297003</v>
      </c>
      <c r="AP56" s="300">
        <f t="shared" si="52"/>
        <v>3.860509475526952E-2</v>
      </c>
      <c r="AQ56" s="300">
        <f t="shared" si="52"/>
        <v>0.37898811040232294</v>
      </c>
      <c r="AR56" s="598">
        <f t="shared" si="52"/>
        <v>0</v>
      </c>
      <c r="AS56" s="296">
        <f t="shared" ca="1" si="41"/>
        <v>0.98860507741273906</v>
      </c>
      <c r="AT56" s="297">
        <f t="shared" ca="1" si="42"/>
        <v>0.99995460213129761</v>
      </c>
      <c r="AU56" s="297">
        <f t="shared" si="43"/>
        <v>0</v>
      </c>
      <c r="AV56" s="297">
        <f t="shared" ca="1" si="44"/>
        <v>0.81311854575190168</v>
      </c>
      <c r="AW56" s="298">
        <f t="shared" ca="1" si="45"/>
        <v>0</v>
      </c>
      <c r="AX56" s="296">
        <f t="shared" ca="1" si="46"/>
        <v>0.98707890751438676</v>
      </c>
      <c r="AY56" s="297">
        <f t="shared" ca="1" si="46"/>
        <v>0.98851435614736205</v>
      </c>
      <c r="AZ56" s="297">
        <f t="shared" si="46"/>
        <v>0</v>
      </c>
      <c r="BA56" s="297">
        <f t="shared" ca="1" si="46"/>
        <v>0.30816226118759799</v>
      </c>
      <c r="BB56" s="298">
        <f t="shared" ca="1" si="46"/>
        <v>0</v>
      </c>
      <c r="BC56" s="296">
        <f t="shared" ca="1" si="53"/>
        <v>1.148564385263795E-2</v>
      </c>
      <c r="BD56" s="297">
        <f t="shared" ca="1" si="47"/>
        <v>0.42725311886988981</v>
      </c>
      <c r="BE56" s="297">
        <f t="shared" ca="1" si="48"/>
        <v>0.4278744470137163</v>
      </c>
      <c r="BF56" s="297">
        <f t="shared" ca="1" si="49"/>
        <v>0</v>
      </c>
      <c r="BG56" s="297">
        <f t="shared" ca="1" si="50"/>
        <v>0.13338679026375591</v>
      </c>
      <c r="BH56" s="298">
        <f t="shared" ca="1" si="51"/>
        <v>0</v>
      </c>
    </row>
    <row r="57" spans="1:60" ht="13.5" thickBot="1" x14ac:dyDescent="0.25">
      <c r="A57" s="618">
        <v>2040</v>
      </c>
      <c r="B57" s="814" cm="1">
        <f t="array" ref="B57">ROUND(INDEX(COST_Cls3,$A57-($A$24-1),MATCH(B$20,TECHOPTS_Cls3,0)),2)</f>
        <v>84354.48</v>
      </c>
      <c r="C57" s="815" cm="1">
        <f t="array" ref="C57">ROUND(INDEX(COST_Cls3,$A57-($A$24-1),MATCH(C$20,TECHOPTS_Cls3,0)),2)</f>
        <v>1903.49</v>
      </c>
      <c r="D57" s="815" cm="1">
        <f t="array" ref="D57">ROUND(INDEX(COST_Cls3,$A57-($A$24-1),MATCH(D$20,TECHOPTS_Cls3,0)),2)</f>
        <v>5053.42</v>
      </c>
      <c r="E57" s="815" cm="1">
        <f t="array" ref="E57">ROUND(INDEX(COST_Cls3,$A57-($A$24-1),MATCH(E$20,TECHOPTS_Cls3,0)),2)</f>
        <v>86230.9</v>
      </c>
      <c r="F57" s="815" cm="1">
        <f t="array" ref="F57">ROUND(INDEX(COST_Cls3,$A57-($A$24-1),MATCH(F$20,TECHOPTS_Cls3,0)),2)</f>
        <v>47561.1</v>
      </c>
      <c r="G57" s="816" cm="1">
        <f t="array" ref="G57">ROUND(INDEX(COST_Cls3,$A57-($A$24-1),MATCH(G$20,TECHOPTS_Cls3,0)),2)</f>
        <v>1000000</v>
      </c>
      <c r="H57" s="781" cm="1">
        <f t="array" ref="H57">IF(H$21="Single-fuel",1,1-MIN(INDEX(CDRANGE_CLS3,$A57-($A$24-1),MATCH(H$20,TECHOPTS_Cls3,0))*OPDAYS_Cls3/$D$6,1))</f>
        <v>1</v>
      </c>
      <c r="I57" s="782" cm="1">
        <f t="array" ref="I57">IF(I$21="Single-fuel",1,1-MIN(INDEX(CDRANGE_CLS3,$A57-($A$24-1),MATCH(I$20,TECHOPTS_Cls3,0))*OPDAYS_Cls3/$D$6,1))</f>
        <v>1</v>
      </c>
      <c r="J57" s="782" cm="1">
        <f t="array" ref="J57">IF(J$21="Single-fuel",1,1-MIN(INDEX(CDRANGE_CLS3,$A57-($A$24-1),MATCH(J$20,TECHOPTS_Cls3,0))*OPDAYS_Cls3/$D$6,1))</f>
        <v>1</v>
      </c>
      <c r="K57" s="782" cm="1">
        <f t="array" ref="K57">IF(K$21="Single-fuel",1,1-MIN(INDEX(CDRANGE_CLS3,$A57-($A$24-1),MATCH(K$20,TECHOPTS_Cls3,0))*OPDAYS_Cls3/$D$6,1))</f>
        <v>1</v>
      </c>
      <c r="L57" s="782" cm="1">
        <f t="array" ref="L57">IF(L$21="Single-fuel",1,1-MIN(INDEX(CDRANGE_CLS3,$A57-($A$24-1),MATCH(L$20,TECHOPTS_Cls3,0))*OPDAYS_Cls3/$D$6,1))</f>
        <v>1</v>
      </c>
      <c r="M57" s="783" cm="1">
        <f t="array" ref="M57">IF(M$21="Single-fuel",1,1-MIN(INDEX(CDRANGE_CLS3,$A57-($A$24-1),MATCH(M$20,TECHOPTS_Cls3,0))*OPDAYS_Cls3/$D$6,1))</f>
        <v>1</v>
      </c>
      <c r="N57" s="882" cm="1">
        <f t="array" ref="N57">VLOOKUP($A57,IF($D$5="Central",FuelPriceCent,FuelPriceNCent),MATCH(N$21,FuelPriceCols,0),0)*(H57*$D$6)/(12*INDEX(FUEL1MPG_Cls3,$A57-($A$24-1),MATCH(N$20,TECHOPTS_Cls3,0)))+IFERROR(VLOOKUP($A57,IF($D$5="Central",FuelPriceCent,FuelPriceNCent),MATCH(INDEX($G$11:$G$16,MATCH(N$20,$B$11:$B$16,0)),FuelPriceCols,0),0),0)*((1-H57)*$D$6)/(12*INDEX(FUEL2MPG_Cls3,$A57-($A$24-1),MATCH(N$20,TECHOPTS_Cls3,0)))</f>
        <v>8613.592314402691</v>
      </c>
      <c r="O57" s="776" cm="1">
        <f t="array" ref="O57">VLOOKUP($A57,IF($D$5="Central",FuelPriceCent,FuelPriceNCent),MATCH(O$21,FuelPriceCols,0),0)*(I57*$D$6)/(12*INDEX(FUEL1MPG_Cls3,$A57-($A$24-1),MATCH(O$20,TECHOPTS_Cls3,0)))+IFERROR(VLOOKUP($A57,IF($D$5="Central",FuelPriceCent,FuelPriceNCent),MATCH(INDEX($G$11:$G$16,MATCH(O$20,$B$11:$B$16,0)),FuelPriceCols,0),0),0)*((1-I57)*$D$6)/(12*INDEX(FUEL2MPG_Cls3,$A57-($A$24-1),MATCH(O$20,TECHOPTS_Cls3,0)))</f>
        <v>8247.4860298453095</v>
      </c>
      <c r="P57" s="776" cm="1">
        <f t="array" ref="P57">VLOOKUP($A57,IF($D$5="Central",FuelPriceCent,FuelPriceNCent),MATCH(P$21,FuelPriceCols,0),0)*(J57*$D$6)/(12*INDEX(FUEL1MPG_Cls3,$A57-($A$24-1),MATCH(P$20,TECHOPTS_Cls3,0)))+IFERROR(VLOOKUP($A57,IF($D$5="Central",FuelPriceCent,FuelPriceNCent),MATCH(INDEX($G$11:$G$16,MATCH(P$20,$B$11:$B$16,0)),FuelPriceCols,0),0),0)*((1-J57)*$D$6)/(12*INDEX(FUEL2MPG_Cls3,$A57-($A$24-1),MATCH(P$20,TECHOPTS_Cls3,0)))</f>
        <v>5288.0318164189976</v>
      </c>
      <c r="Q57" s="776" cm="1">
        <f t="array" ref="Q57">VLOOKUP($A57,IF($D$5="Central",FuelPriceCent,FuelPriceNCent),MATCH(Q$21,FuelPriceCols,0),0)*(K57*$D$6)/(12*INDEX(FUEL1MPG_Cls3,$A57-($A$24-1),MATCH(Q$20,TECHOPTS_Cls3,0)))+IFERROR(VLOOKUP($A57,IF($D$5="Central",FuelPriceCent,FuelPriceNCent),MATCH(INDEX($G$11:$G$16,MATCH(Q$20,$B$11:$B$16,0)),FuelPriceCols,0),0),0)*((1-K57)*$D$6)/(12*INDEX(FUEL2MPG_Cls3,$A57-($A$24-1),MATCH(Q$20,TECHOPTS_Cls3,0)))</f>
        <v>5743.7581978067992</v>
      </c>
      <c r="R57" s="776" cm="1">
        <f t="array" ref="R57">VLOOKUP($A57,IF($D$5="Central",FuelPriceCent,FuelPriceNCent),MATCH(R$21,FuelPriceCols,0),0)*(L57*$D$6)/(12*INDEX(FUEL1MPG_Cls3,$A57-($A$24-1),MATCH(R$20,TECHOPTS_Cls3,0)))+IFERROR(VLOOKUP($A57,IF($D$5="Central",FuelPriceCent,FuelPriceNCent),MATCH(INDEX($G$11:$G$16,MATCH(R$20,$B$11:$B$16,0)),FuelPriceCols,0),0),0)*((1-L57)*$D$6)/(12*INDEX(FUEL2MPG_Cls3,$A57-($A$24-1),MATCH(R$20,TECHOPTS_Cls3,0)))</f>
        <v>4965.5842972639102</v>
      </c>
      <c r="S57" s="777" cm="1">
        <f t="array" ref="S57">VLOOKUP($A57,IF($D$5="Central",FuelPriceCent,FuelPriceNCent),MATCH(S$21,FuelPriceCols,0),0)*(M57*$D$6)/(12*INDEX(FUEL1MPG_Cls3,$A57-($A$24-1),MATCH(S$20,TECHOPTS_Cls3,0)))+IFERROR(VLOOKUP($A57,IF($D$5="Central",FuelPriceCent,FuelPriceNCent),MATCH(INDEX($G$11:$G$16,MATCH(S$20,$B$11:$B$16,0)),FuelPriceCols,0),0),0)*((1-M57)*$D$6)/(12*INDEX(FUEL2MPG_Cls3,$A57-($A$24-1),MATCH(S$20,TECHOPTS_Cls3,0)))</f>
        <v>67888.283176875004</v>
      </c>
      <c r="T57" s="735">
        <f t="shared" si="30"/>
        <v>366.10628455738151</v>
      </c>
      <c r="U57" s="619">
        <f t="shared" si="31"/>
        <v>3325.5604979836935</v>
      </c>
      <c r="V57" s="619">
        <f t="shared" si="32"/>
        <v>2869.8341165958918</v>
      </c>
      <c r="W57" s="619">
        <f t="shared" si="33"/>
        <v>3648.0080171387808</v>
      </c>
      <c r="X57" s="620">
        <f t="shared" si="34"/>
        <v>-59274.690862472315</v>
      </c>
      <c r="Y57" s="723" cm="1">
        <f t="array" aca="1" ref="Y57" ca="1">IF(AND(Y$22=TRUE,INDEX(CDRANGE_CLS3,MATCH($A57,$A$24:$A$67,0),MATCH(Y$20,$B$20:$G$20,0))&lt;$D$6/OPDAYS_Cls3),86,payback(C57,T57,disc_rate/12,85))</f>
        <v>6</v>
      </c>
      <c r="Z57" s="724" cm="1">
        <f t="array" aca="1" ref="Z57" ca="1">IF(AND(Z$22=TRUE,INDEX(CDRANGE_CLS3,MATCH($A57,$A$24:$A$67,0),MATCH(Z$20,$B$20:$G$20,0))&lt;$D$6/OPDAYS_Cls3),86,payback(D57,U57,disc_rate/12,85))</f>
        <v>2</v>
      </c>
      <c r="AA57" s="724" cm="1">
        <f t="array" ref="AA57">IF(AND(AA$22=TRUE,INDEX(CDRANGE_CLS3,MATCH($A57,$A$24:$A$67,0),MATCH(AA$20,$B$20:$G$20,0))&lt;$D$6/OPDAYS_Cls3),86,payback(E57,V57,disc_rate/12,85))</f>
        <v>86</v>
      </c>
      <c r="AB57" s="724" cm="1">
        <f t="array" aca="1" ref="AB57" ca="1">IF(AND(AB$22=TRUE,INDEX(CDRANGE_CLS3,MATCH($A57,$A$24:$A$67,0),MATCH(AB$20,$B$20:$G$20,0))&lt;$D$6/OPDAYS_Cls3),86,payback(F57,W57,disc_rate/12,85))</f>
        <v>14</v>
      </c>
      <c r="AC57" s="891" cm="1">
        <f t="array" aca="1" ref="AC57" ca="1">IF(AND(AC$22=TRUE,INDEX(CDRANGE_CLS3,MATCH($A57,$A$24:$A$67,0),MATCH(AC$20,$B$20:$G$20,0))&lt;$D$6/OPDAYS_Cls3),86,payback(G57,X57,disc_rate/12,85))</f>
        <v>86</v>
      </c>
      <c r="AD57" s="624">
        <f t="shared" si="35"/>
        <v>0</v>
      </c>
      <c r="AE57" s="625">
        <f t="shared" si="36"/>
        <v>0</v>
      </c>
      <c r="AF57" s="625">
        <f t="shared" si="37"/>
        <v>0</v>
      </c>
      <c r="AG57" s="625">
        <f t="shared" si="38"/>
        <v>0</v>
      </c>
      <c r="AH57" s="626">
        <f t="shared" si="39"/>
        <v>0</v>
      </c>
      <c r="AI57" s="627" cm="1">
        <f t="array" ref="AI57">IF($A57&lt;AI$23,0,AI$21+VLOOKUP($A57-AI$23,SCdata,2,1)*(AI$22-AI$21))*IF($D$5="Non-Central",INDEX(fuel_avail,$A57-$A$24+1,MATCH(O$21,Fuels,0)),1)</f>
        <v>0.49999164928907602</v>
      </c>
      <c r="AJ57" s="628" cm="1">
        <f t="array" ref="AJ57">IF($A57&lt;AJ$23,0,AJ$21+VLOOKUP($A57-AJ$23,SCdata,2,1)*(AJ$22-AJ$21))*IF($D$5="Non-Central",INDEX(fuel_avail,$A57-$A$24+1,MATCH(P$21,Fuels,0)),1)</f>
        <v>0.49999164928907602</v>
      </c>
      <c r="AK57" s="628" cm="1">
        <f t="array" ref="AK57">IF($A57&lt;AK$23,0,AK$21+VLOOKUP($A57-AK$23,SCdata,2,1)*(AK$22-AK$21))*IF($D$5="Non-Central",INDEX(fuel_avail,$A57-$A$24+1,MATCH(Q$21,Fuels,0)),1)</f>
        <v>0.49999164928907602</v>
      </c>
      <c r="AL57" s="628" cm="1">
        <f t="array" ref="AL57">IF($A57&lt;AL$23,0,AL$21+VLOOKUP($A57-AL$23,SCdata,2,1)*(AL$22-AL$21))*IF($D$5="Non-Central",INDEX(fuel_avail,$A57-$A$24+1,MATCH(R$21,Fuels,0)),1)</f>
        <v>0.49999164928907602</v>
      </c>
      <c r="AM57" s="629" cm="1">
        <f t="array" ref="AM57">IF($A57&lt;AM$23,0,AM$21+VLOOKUP($A57-AM$23,SCdata,2,1)*(AM$22-AM$21))*IF($D$5="Non-Central",INDEX(fuel_avail,$A57-$A$24+1,MATCH(S$21,Fuels,0)),1)</f>
        <v>0</v>
      </c>
      <c r="AN57" s="630">
        <f t="shared" si="52"/>
        <v>0.9985865667966668</v>
      </c>
      <c r="AO57" s="628">
        <f t="shared" si="52"/>
        <v>0.99008051695736543</v>
      </c>
      <c r="AP57" s="628">
        <f t="shared" si="52"/>
        <v>5.4873068318888718E-2</v>
      </c>
      <c r="AQ57" s="628">
        <f t="shared" si="52"/>
        <v>0.41352001999863075</v>
      </c>
      <c r="AR57" s="629">
        <f t="shared" si="52"/>
        <v>0</v>
      </c>
      <c r="AS57" s="624">
        <f t="shared" ca="1" si="41"/>
        <v>0.99998329857815205</v>
      </c>
      <c r="AT57" s="625">
        <f t="shared" ca="1" si="42"/>
        <v>0.99998329857815205</v>
      </c>
      <c r="AU57" s="625">
        <f t="shared" si="43"/>
        <v>0</v>
      </c>
      <c r="AV57" s="625">
        <f t="shared" ca="1" si="44"/>
        <v>0.87072311107050204</v>
      </c>
      <c r="AW57" s="626">
        <f t="shared" ca="1" si="45"/>
        <v>0</v>
      </c>
      <c r="AX57" s="624">
        <f t="shared" ca="1" si="46"/>
        <v>0.99856988898116306</v>
      </c>
      <c r="AY57" s="625">
        <f t="shared" ca="1" si="46"/>
        <v>0.99006398120498829</v>
      </c>
      <c r="AZ57" s="625">
        <f t="shared" si="46"/>
        <v>0</v>
      </c>
      <c r="BA57" s="625">
        <f t="shared" ca="1" si="46"/>
        <v>0.36006143830314397</v>
      </c>
      <c r="BB57" s="626">
        <f t="shared" ca="1" si="46"/>
        <v>0</v>
      </c>
      <c r="BC57" s="624">
        <f t="shared" ca="1" si="53"/>
        <v>1.4301110188370547E-3</v>
      </c>
      <c r="BD57" s="625">
        <f t="shared" ca="1" si="47"/>
        <v>0.42455137521487368</v>
      </c>
      <c r="BE57" s="625">
        <f t="shared" ca="1" si="48"/>
        <v>0.42093500856525401</v>
      </c>
      <c r="BF57" s="625">
        <f t="shared" ca="1" si="49"/>
        <v>0</v>
      </c>
      <c r="BG57" s="625">
        <f t="shared" ca="1" si="50"/>
        <v>0.15308350520103534</v>
      </c>
      <c r="BH57" s="626">
        <f t="shared" ca="1" si="51"/>
        <v>0</v>
      </c>
    </row>
    <row r="58" spans="1:60" x14ac:dyDescent="0.2">
      <c r="A58" s="318">
        <v>2041</v>
      </c>
      <c r="B58" s="817" cm="1">
        <f t="array" ref="B58">ROUND(INDEX(COST_Cls3,$A58-($A$24-1),MATCH(B$20,TECHOPTS_Cls3,0)),2)</f>
        <v>84371.73</v>
      </c>
      <c r="C58" s="818" cm="1">
        <f t="array" ref="C58">ROUND(INDEX(COST_Cls3,$A58-($A$24-1),MATCH(C$20,TECHOPTS_Cls3,0)),2)</f>
        <v>1784.3</v>
      </c>
      <c r="D58" s="818" cm="1">
        <f t="array" ref="D58">ROUND(INDEX(COST_Cls3,$A58-($A$24-1),MATCH(D$20,TECHOPTS_Cls3,0)),2)</f>
        <v>4531.1400000000003</v>
      </c>
      <c r="E58" s="818" cm="1">
        <f t="array" ref="E58">ROUND(INDEX(COST_Cls3,$A58-($A$24-1),MATCH(E$20,TECHOPTS_Cls3,0)),2)</f>
        <v>79183.22</v>
      </c>
      <c r="F58" s="818" cm="1">
        <f t="array" ref="F58">ROUND(INDEX(COST_Cls3,$A58-($A$24-1),MATCH(F$20,TECHOPTS_Cls3,0)),2)</f>
        <v>44377.96</v>
      </c>
      <c r="G58" s="819" cm="1">
        <f t="array" ref="G58">ROUND(INDEX(COST_Cls3,$A58-($A$24-1),MATCH(G$20,TECHOPTS_Cls3,0)),2)</f>
        <v>1000000</v>
      </c>
      <c r="H58" s="781" cm="1">
        <f t="array" ref="H58">IF(H$21="Single-fuel",1,1-MIN(INDEX(CDRANGE_CLS3,$A58-($A$24-1),MATCH(H$20,TECHOPTS_Cls3,0))*OPDAYS_Cls3/$D$6,1))</f>
        <v>1</v>
      </c>
      <c r="I58" s="782" cm="1">
        <f t="array" ref="I58">IF(I$21="Single-fuel",1,1-MIN(INDEX(CDRANGE_CLS3,$A58-($A$24-1),MATCH(I$20,TECHOPTS_Cls3,0))*OPDAYS_Cls3/$D$6,1))</f>
        <v>1</v>
      </c>
      <c r="J58" s="782" cm="1">
        <f t="array" ref="J58">IF(J$21="Single-fuel",1,1-MIN(INDEX(CDRANGE_CLS3,$A58-($A$24-1),MATCH(J$20,TECHOPTS_Cls3,0))*OPDAYS_Cls3/$D$6,1))</f>
        <v>1</v>
      </c>
      <c r="K58" s="782" cm="1">
        <f t="array" ref="K58">IF(K$21="Single-fuel",1,1-MIN(INDEX(CDRANGE_CLS3,$A58-($A$24-1),MATCH(K$20,TECHOPTS_Cls3,0))*OPDAYS_Cls3/$D$6,1))</f>
        <v>1</v>
      </c>
      <c r="L58" s="782" cm="1">
        <f t="array" ref="L58">IF(L$21="Single-fuel",1,1-MIN(INDEX(CDRANGE_CLS3,$A58-($A$24-1),MATCH(L$20,TECHOPTS_Cls3,0))*OPDAYS_Cls3/$D$6,1))</f>
        <v>1</v>
      </c>
      <c r="M58" s="783" cm="1">
        <f t="array" ref="M58">IF(M$21="Single-fuel",1,1-MIN(INDEX(CDRANGE_CLS3,$A58-($A$24-1),MATCH(M$20,TECHOPTS_Cls3,0))*OPDAYS_Cls3/$D$6,1))</f>
        <v>1</v>
      </c>
      <c r="N58" s="736" cm="1">
        <f t="array" ref="N58">VLOOKUP($A58,IF($D$5="Central",FuelPriceCent,FuelPriceNCent),MATCH(N$21,FuelPriceCols,0),0)*(H58*$D$6)/(12*INDEX(FUEL1MPG_Cls3,$A58-($A$24-1),MATCH(N$20,TECHOPTS_Cls3,0)))+IFERROR(VLOOKUP($A58,IF($D$5="Central",FuelPriceCent,FuelPriceNCent),MATCH(INDEX($G$11:$G$16,MATCH(N$20,$B$11:$B$16,0)),FuelPriceCols,0),0),0)*((1-H58)*$D$6)/(12*INDEX(FUEL2MPG_Cls3,$A58-($A$24-1),MATCH(N$20,TECHOPTS_Cls3,0)))</f>
        <v>8666.7677923364445</v>
      </c>
      <c r="O58" s="632" cm="1">
        <f t="array" ref="O58">VLOOKUP($A58,IF($D$5="Central",FuelPriceCent,FuelPriceNCent),MATCH(O$21,FuelPriceCols,0),0)*(I58*$D$6)/(12*INDEX(FUEL1MPG_Cls3,$A58-($A$24-1),MATCH(O$20,TECHOPTS_Cls3,0)))+IFERROR(VLOOKUP($A58,IF($D$5="Central",FuelPriceCent,FuelPriceNCent),MATCH(INDEX($G$11:$G$16,MATCH(O$20,$B$11:$B$16,0)),FuelPriceCols,0),0),0)*((1-I58)*$D$6)/(12*INDEX(FUEL2MPG_Cls3,$A58-($A$24-1),MATCH(O$20,TECHOPTS_Cls3,0)))</f>
        <v>8166.386300930084</v>
      </c>
      <c r="P58" s="632" cm="1">
        <f t="array" ref="P58">VLOOKUP($A58,IF($D$5="Central",FuelPriceCent,FuelPriceNCent),MATCH(P$21,FuelPriceCols,0),0)*(J58*$D$6)/(12*INDEX(FUEL1MPG_Cls3,$A58-($A$24-1),MATCH(P$20,TECHOPTS_Cls3,0)))+IFERROR(VLOOKUP($A58,IF($D$5="Central",FuelPriceCent,FuelPriceNCent),MATCH(INDEX($G$11:$G$16,MATCH(P$20,$B$11:$B$16,0)),FuelPriceCols,0),0),0)*((1-J58)*$D$6)/(12*INDEX(FUEL2MPG_Cls3,$A58-($A$24-1),MATCH(P$20,TECHOPTS_Cls3,0)))</f>
        <v>5175.276310826308</v>
      </c>
      <c r="Q58" s="632" cm="1">
        <f t="array" ref="Q58">VLOOKUP($A58,IF($D$5="Central",FuelPriceCent,FuelPriceNCent),MATCH(Q$21,FuelPriceCols,0),0)*(K58*$D$6)/(12*INDEX(FUEL1MPG_Cls3,$A58-($A$24-1),MATCH(Q$20,TECHOPTS_Cls3,0)))+IFERROR(VLOOKUP($A58,IF($D$5="Central",FuelPriceCent,FuelPriceNCent),MATCH(INDEX($G$11:$G$16,MATCH(Q$20,$B$11:$B$16,0)),FuelPriceCols,0),0),0)*((1-K58)*$D$6)/(12*INDEX(FUEL2MPG_Cls3,$A58-($A$24-1),MATCH(Q$20,TECHOPTS_Cls3,0)))</f>
        <v>5302.2065761885051</v>
      </c>
      <c r="R58" s="632" cm="1">
        <f t="array" ref="R58">VLOOKUP($A58,IF($D$5="Central",FuelPriceCent,FuelPriceNCent),MATCH(R$21,FuelPriceCols,0),0)*(L58*$D$6)/(12*INDEX(FUEL1MPG_Cls3,$A58-($A$24-1),MATCH(R$20,TECHOPTS_Cls3,0)))+IFERROR(VLOOKUP($A58,IF($D$5="Central",FuelPriceCent,FuelPriceNCent),MATCH(INDEX($G$11:$G$16,MATCH(R$20,$B$11:$B$16,0)),FuelPriceCols,0),0),0)*((1-L58)*$D$6)/(12*INDEX(FUEL2MPG_Cls3,$A58-($A$24-1),MATCH(R$20,TECHOPTS_Cls3,0)))</f>
        <v>4696.2701122313274</v>
      </c>
      <c r="S58" s="745" cm="1">
        <f t="array" ref="S58">VLOOKUP($A58,IF($D$5="Central",FuelPriceCent,FuelPriceNCent),MATCH(S$21,FuelPriceCols,0),0)*(M58*$D$6)/(12*INDEX(FUEL1MPG_Cls3,$A58-($A$24-1),MATCH(S$20,TECHOPTS_Cls3,0)))+IFERROR(VLOOKUP($A58,IF($D$5="Central",FuelPriceCent,FuelPriceNCent),MATCH(INDEX($G$11:$G$16,MATCH(S$20,$B$11:$B$16,0)),FuelPriceCols,0),0),0)*((1-M58)*$D$6)/(12*INDEX(FUEL2MPG_Cls3,$A58-($A$24-1),MATCH(S$20,TECHOPTS_Cls3,0)))</f>
        <v>68322.348294374999</v>
      </c>
      <c r="T58" s="736">
        <f t="shared" si="30"/>
        <v>500.38149140636051</v>
      </c>
      <c r="U58" s="632">
        <f t="shared" si="31"/>
        <v>3491.4914815101365</v>
      </c>
      <c r="V58" s="632">
        <f t="shared" si="32"/>
        <v>3364.5612161479394</v>
      </c>
      <c r="W58" s="632">
        <f t="shared" si="33"/>
        <v>3970.4976801051171</v>
      </c>
      <c r="X58" s="633">
        <f t="shared" si="34"/>
        <v>-59655.580502038552</v>
      </c>
      <c r="Y58" s="634" cm="1">
        <f t="array" aca="1" ref="Y58" ca="1">IF(AND(Y$22=TRUE,INDEX(CDRANGE_CLS3,MATCH($A58,$A$24:$A$67,0),MATCH(Y$20,$B$20:$G$20,0))&lt;$D$6/OPDAYS_Cls3),86,payback(C58,T58,disc_rate/12,85))</f>
        <v>4</v>
      </c>
      <c r="Z58" s="635" cm="1">
        <f t="array" aca="1" ref="Z58" ca="1">IF(AND(Z$22=TRUE,INDEX(CDRANGE_CLS3,MATCH($A58,$A$24:$A$67,0),MATCH(Z$20,$B$20:$G$20,0))&lt;$D$6/OPDAYS_Cls3),86,payback(D58,U58,disc_rate/12,85))</f>
        <v>2</v>
      </c>
      <c r="AA58" s="635" cm="1">
        <f t="array" ref="AA58">IF(AND(AA$22=TRUE,INDEX(CDRANGE_CLS3,MATCH($A58,$A$24:$A$67,0),MATCH(AA$20,$B$20:$G$20,0))&lt;$D$6/OPDAYS_Cls3),86,payback(E58,V58,disc_rate/12,85))</f>
        <v>86</v>
      </c>
      <c r="AB58" s="635" cm="1">
        <f t="array" aca="1" ref="AB58" ca="1">IF(AND(AB$22=TRUE,INDEX(CDRANGE_CLS3,MATCH($A58,$A$24:$A$67,0),MATCH(AB$20,$B$20:$G$20,0))&lt;$D$6/OPDAYS_Cls3),86,payback(F58,W58,disc_rate/12,85))</f>
        <v>12</v>
      </c>
      <c r="AC58" s="892" cm="1">
        <f t="array" aca="1" ref="AC58" ca="1">IF(AND(AC$22=TRUE,INDEX(CDRANGE_CLS3,MATCH($A58,$A$24:$A$67,0),MATCH(AC$20,$B$20:$G$20,0))&lt;$D$6/OPDAYS_Cls3),86,payback(G58,X58,disc_rate/12,85))</f>
        <v>86</v>
      </c>
      <c r="AD58" s="637">
        <f t="shared" si="35"/>
        <v>0</v>
      </c>
      <c r="AE58" s="638">
        <f t="shared" si="36"/>
        <v>0</v>
      </c>
      <c r="AF58" s="638">
        <f t="shared" si="37"/>
        <v>0</v>
      </c>
      <c r="AG58" s="638">
        <f t="shared" si="38"/>
        <v>0</v>
      </c>
      <c r="AH58" s="639">
        <f t="shared" si="39"/>
        <v>0</v>
      </c>
      <c r="AI58" s="640" cm="1">
        <f t="array" ref="AI58">IF($A58&lt;AI$23,0,AI$21+VLOOKUP($A58-AI$23,SCdata,2,1)*(AI$22-AI$21))*IF($D$5="Non-Central",INDEX(fuel_avail,$A58-$A$24+1,MATCH(O$21,Fuels,0)),1)</f>
        <v>0.4999969279126989</v>
      </c>
      <c r="AJ58" s="641" cm="1">
        <f t="array" ref="AJ58">IF($A58&lt;AJ$23,0,AJ$21+VLOOKUP($A58-AJ$23,SCdata,2,1)*(AJ$22-AJ$21))*IF($D$5="Non-Central",INDEX(fuel_avail,$A58-$A$24+1,MATCH(P$21,Fuels,0)),1)</f>
        <v>0.4999969279126989</v>
      </c>
      <c r="AK58" s="641" cm="1">
        <f t="array" ref="AK58">IF($A58&lt;AK$23,0,AK$21+VLOOKUP($A58-AK$23,SCdata,2,1)*(AK$22-AK$21))*IF($D$5="Non-Central",INDEX(fuel_avail,$A58-$A$24+1,MATCH(Q$21,Fuels,0)),1)</f>
        <v>0.4999969279126989</v>
      </c>
      <c r="AL58" s="641" cm="1">
        <f t="array" ref="AL58">IF($A58&lt;AL$23,0,AL$21+VLOOKUP($A58-AL$23,SCdata,2,1)*(AL$22-AL$21))*IF($D$5="Non-Central",INDEX(fuel_avail,$A58-$A$24+1,MATCH(R$21,Fuels,0)),1)</f>
        <v>0.4999969279126989</v>
      </c>
      <c r="AM58" s="642" cm="1">
        <f t="array" ref="AM58">IF($A58&lt;AM$23,0,AM$21+VLOOKUP($A58-AM$23,SCdata,2,1)*(AM$22-AM$21))*IF($D$5="Non-Central",INDEX(fuel_avail,$A58-$A$24+1,MATCH(S$21,Fuels,0)),1)</f>
        <v>0</v>
      </c>
      <c r="AN58" s="643">
        <f t="shared" si="52"/>
        <v>0.9987584346039956</v>
      </c>
      <c r="AO58" s="641">
        <f t="shared" si="52"/>
        <v>0.99202042023880943</v>
      </c>
      <c r="AP58" s="641">
        <f t="shared" si="52"/>
        <v>8.6584100593515623E-2</v>
      </c>
      <c r="AQ58" s="641">
        <f t="shared" si="52"/>
        <v>0.46371271416641502</v>
      </c>
      <c r="AR58" s="642">
        <f t="shared" si="52"/>
        <v>0</v>
      </c>
      <c r="AS58" s="637">
        <f t="shared" ca="1" si="41"/>
        <v>0.99999385582539779</v>
      </c>
      <c r="AT58" s="638">
        <f t="shared" ca="1" si="42"/>
        <v>0.99999385582539779</v>
      </c>
      <c r="AU58" s="638">
        <f t="shared" si="43"/>
        <v>0</v>
      </c>
      <c r="AV58" s="638">
        <f t="shared" ca="1" si="44"/>
        <v>0.92083410057885096</v>
      </c>
      <c r="AW58" s="639">
        <f t="shared" ca="1" si="45"/>
        <v>0</v>
      </c>
      <c r="AX58" s="637">
        <f t="shared" ca="1" si="46"/>
        <v>0.99875229805778798</v>
      </c>
      <c r="AY58" s="638">
        <f t="shared" ca="1" si="46"/>
        <v>0.99201432509213849</v>
      </c>
      <c r="AZ58" s="638">
        <f t="shared" si="46"/>
        <v>0</v>
      </c>
      <c r="BA58" s="638">
        <f t="shared" ca="1" si="46"/>
        <v>0.42700248007640856</v>
      </c>
      <c r="BB58" s="639">
        <f t="shared" ca="1" si="46"/>
        <v>0</v>
      </c>
      <c r="BC58" s="637">
        <f t="shared" ca="1" si="53"/>
        <v>1.2477019422121316E-3</v>
      </c>
      <c r="BD58" s="638">
        <f t="shared" ca="1" si="47"/>
        <v>0.41257295890853007</v>
      </c>
      <c r="BE58" s="638">
        <f t="shared" ca="1" si="48"/>
        <v>0.40978958063857313</v>
      </c>
      <c r="BF58" s="638">
        <f t="shared" ca="1" si="49"/>
        <v>0</v>
      </c>
      <c r="BG58" s="638">
        <f t="shared" ca="1" si="50"/>
        <v>0.17638975851068464</v>
      </c>
      <c r="BH58" s="639">
        <f t="shared" ca="1" si="51"/>
        <v>0</v>
      </c>
    </row>
    <row r="59" spans="1:60" x14ac:dyDescent="0.2">
      <c r="A59" s="317">
        <v>2042</v>
      </c>
      <c r="B59" s="820" cm="1">
        <f t="array" ref="B59">ROUND(INDEX(COST_Cls3,$A59-($A$24-1),MATCH(B$20,TECHOPTS_Cls3,0)),2)</f>
        <v>84392.43</v>
      </c>
      <c r="C59" s="821" cm="1">
        <f t="array" ref="C59">ROUND(INDEX(COST_Cls3,$A59-($A$24-1),MATCH(C$20,TECHOPTS_Cls3,0)),2)</f>
        <v>1631.1</v>
      </c>
      <c r="D59" s="821" cm="1">
        <f t="array" ref="D59">ROUND(INDEX(COST_Cls3,$A59-($A$24-1),MATCH(D$20,TECHOPTS_Cls3,0)),2)</f>
        <v>3859.83</v>
      </c>
      <c r="E59" s="821" cm="1">
        <f t="array" ref="E59">ROUND(INDEX(COST_Cls3,$A59-($A$24-1),MATCH(E$20,TECHOPTS_Cls3,0)),2)</f>
        <v>70124.36</v>
      </c>
      <c r="F59" s="821" cm="1">
        <f t="array" ref="F59">ROUND(INDEX(COST_Cls3,$A59-($A$24-1),MATCH(F$20,TECHOPTS_Cls3,0)),2)</f>
        <v>40286.47</v>
      </c>
      <c r="G59" s="822" cm="1">
        <f t="array" ref="G59">ROUND(INDEX(COST_Cls3,$A59-($A$24-1),MATCH(G$20,TECHOPTS_Cls3,0)),2)</f>
        <v>1000000</v>
      </c>
      <c r="H59" s="781" cm="1">
        <f t="array" ref="H59">IF(H$21="Single-fuel",1,1-MIN(INDEX(CDRANGE_CLS3,$A59-($A$24-1),MATCH(H$20,TECHOPTS_Cls3,0))*OPDAYS_Cls3/$D$6,1))</f>
        <v>1</v>
      </c>
      <c r="I59" s="782" cm="1">
        <f t="array" ref="I59">IF(I$21="Single-fuel",1,1-MIN(INDEX(CDRANGE_CLS3,$A59-($A$24-1),MATCH(I$20,TECHOPTS_Cls3,0))*OPDAYS_Cls3/$D$6,1))</f>
        <v>1</v>
      </c>
      <c r="J59" s="782" cm="1">
        <f t="array" ref="J59">IF(J$21="Single-fuel",1,1-MIN(INDEX(CDRANGE_CLS3,$A59-($A$24-1),MATCH(J$20,TECHOPTS_Cls3,0))*OPDAYS_Cls3/$D$6,1))</f>
        <v>1</v>
      </c>
      <c r="K59" s="782" cm="1">
        <f t="array" ref="K59">IF(K$21="Single-fuel",1,1-MIN(INDEX(CDRANGE_CLS3,$A59-($A$24-1),MATCH(K$20,TECHOPTS_Cls3,0))*OPDAYS_Cls3/$D$6,1))</f>
        <v>1</v>
      </c>
      <c r="L59" s="782" cm="1">
        <f t="array" ref="L59">IF(L$21="Single-fuel",1,1-MIN(INDEX(CDRANGE_CLS3,$A59-($A$24-1),MATCH(L$20,TECHOPTS_Cls3,0))*OPDAYS_Cls3/$D$6,1))</f>
        <v>1</v>
      </c>
      <c r="M59" s="783" cm="1">
        <f t="array" ref="M59">IF(M$21="Single-fuel",1,1-MIN(INDEX(CDRANGE_CLS3,$A59-($A$24-1),MATCH(M$20,TECHOPTS_Cls3,0))*OPDAYS_Cls3/$D$6,1))</f>
        <v>1</v>
      </c>
      <c r="N59" s="733" cm="1">
        <f t="array" ref="N59">VLOOKUP($A59,IF($D$5="Central",FuelPriceCent,FuelPriceNCent),MATCH(N$21,FuelPriceCols,0),0)*(H59*$D$6)/(12*INDEX(FUEL1MPG_Cls3,$A59-($A$24-1),MATCH(N$20,TECHOPTS_Cls3,0)))+IFERROR(VLOOKUP($A59,IF($D$5="Central",FuelPriceCent,FuelPriceNCent),MATCH(INDEX($G$11:$G$16,MATCH(N$20,$B$11:$B$16,0)),FuelPriceCols,0),0),0)*((1-H59)*$D$6)/(12*INDEX(FUEL2MPG_Cls3,$A59-($A$24-1),MATCH(N$20,TECHOPTS_Cls3,0)))</f>
        <v>8791.2442409491669</v>
      </c>
      <c r="O59" s="276" cm="1">
        <f t="array" ref="O59">VLOOKUP($A59,IF($D$5="Central",FuelPriceCent,FuelPriceNCent),MATCH(O$21,FuelPriceCols,0),0)*(I59*$D$6)/(12*INDEX(FUEL1MPG_Cls3,$A59-($A$24-1),MATCH(O$20,TECHOPTS_Cls3,0)))+IFERROR(VLOOKUP($A59,IF($D$5="Central",FuelPriceCent,FuelPriceNCent),MATCH(INDEX($G$11:$G$16,MATCH(O$20,$B$11:$B$16,0)),FuelPriceCols,0),0),0)*((1-I59)*$D$6)/(12*INDEX(FUEL2MPG_Cls3,$A59-($A$24-1),MATCH(O$20,TECHOPTS_Cls3,0)))</f>
        <v>8117.6138639182727</v>
      </c>
      <c r="P59" s="276" cm="1">
        <f t="array" ref="P59">VLOOKUP($A59,IF($D$5="Central",FuelPriceCent,FuelPriceNCent),MATCH(P$21,FuelPriceCols,0),0)*(J59*$D$6)/(12*INDEX(FUEL1MPG_Cls3,$A59-($A$24-1),MATCH(P$20,TECHOPTS_Cls3,0)))+IFERROR(VLOOKUP($A59,IF($D$5="Central",FuelPriceCent,FuelPriceNCent),MATCH(INDEX($G$11:$G$16,MATCH(P$20,$B$11:$B$16,0)),FuelPriceCols,0),0),0)*((1-J59)*$D$6)/(12*INDEX(FUEL2MPG_Cls3,$A59-($A$24-1),MATCH(P$20,TECHOPTS_Cls3,0)))</f>
        <v>5071.4582455410937</v>
      </c>
      <c r="Q59" s="276" cm="1">
        <f t="array" ref="Q59">VLOOKUP($A59,IF($D$5="Central",FuelPriceCent,FuelPriceNCent),MATCH(Q$21,FuelPriceCols,0),0)*(K59*$D$6)/(12*INDEX(FUEL1MPG_Cls3,$A59-($A$24-1),MATCH(Q$20,TECHOPTS_Cls3,0)))+IFERROR(VLOOKUP($A59,IF($D$5="Central",FuelPriceCent,FuelPriceNCent),MATCH(INDEX($G$11:$G$16,MATCH(Q$20,$B$11:$B$16,0)),FuelPriceCols,0),0),0)*((1-K59)*$D$6)/(12*INDEX(FUEL2MPG_Cls3,$A59-($A$24-1),MATCH(Q$20,TECHOPTS_Cls3,0)))</f>
        <v>4744.357393516555</v>
      </c>
      <c r="R59" s="276" cm="1">
        <f t="array" ref="R59">VLOOKUP($A59,IF($D$5="Central",FuelPriceCent,FuelPriceNCent),MATCH(R$21,FuelPriceCols,0),0)*(L59*$D$6)/(12*INDEX(FUEL1MPG_Cls3,$A59-($A$24-1),MATCH(R$20,TECHOPTS_Cls3,0)))+IFERROR(VLOOKUP($A59,IF($D$5="Central",FuelPriceCent,FuelPriceNCent),MATCH(INDEX($G$11:$G$16,MATCH(R$20,$B$11:$B$16,0)),FuelPriceCols,0),0),0)*((1-L59)*$D$6)/(12*INDEX(FUEL2MPG_Cls3,$A59-($A$24-1),MATCH(R$20,TECHOPTS_Cls3,0)))</f>
        <v>4404.7524375283028</v>
      </c>
      <c r="S59" s="278" cm="1">
        <f t="array" ref="S59">VLOOKUP($A59,IF($D$5="Central",FuelPriceCent,FuelPriceNCent),MATCH(S$21,FuelPriceCols,0),0)*(M59*$D$6)/(12*INDEX(FUEL1MPG_Cls3,$A59-($A$24-1),MATCH(S$20,TECHOPTS_Cls3,0)))+IFERROR(VLOOKUP($A59,IF($D$5="Central",FuelPriceCent,FuelPriceNCent),MATCH(INDEX($G$11:$G$16,MATCH(S$20,$B$11:$B$16,0)),FuelPriceCols,0),0),0)*((1-M59)*$D$6)/(12*INDEX(FUEL2MPG_Cls3,$A59-($A$24-1),MATCH(S$20,TECHOPTS_Cls3,0)))</f>
        <v>69321.843900000007</v>
      </c>
      <c r="T59" s="734">
        <f t="shared" si="30"/>
        <v>673.63037703089412</v>
      </c>
      <c r="U59" s="290">
        <f t="shared" si="31"/>
        <v>3719.7859954080732</v>
      </c>
      <c r="V59" s="290">
        <f t="shared" si="32"/>
        <v>4046.8868474326118</v>
      </c>
      <c r="W59" s="290">
        <f t="shared" si="33"/>
        <v>4386.491803420864</v>
      </c>
      <c r="X59" s="291">
        <f t="shared" si="34"/>
        <v>-60530.599659050844</v>
      </c>
      <c r="Y59" s="279" cm="1">
        <f t="array" aca="1" ref="Y59" ca="1">IF(AND(Y$22=TRUE,INDEX(CDRANGE_CLS3,MATCH($A59,$A$24:$A$67,0),MATCH(Y$20,$B$20:$G$20,0))&lt;$D$6/OPDAYS_Cls3),86,payback(C59,T59,disc_rate/12,85))</f>
        <v>3</v>
      </c>
      <c r="Z59" s="280" cm="1">
        <f t="array" aca="1" ref="Z59" ca="1">IF(AND(Z$22=TRUE,INDEX(CDRANGE_CLS3,MATCH($A59,$A$24:$A$67,0),MATCH(Z$20,$B$20:$G$20,0))&lt;$D$6/OPDAYS_Cls3),86,payback(D59,U59,disc_rate/12,85))</f>
        <v>2</v>
      </c>
      <c r="AA59" s="280" cm="1">
        <f t="array" ref="AA59">IF(AND(AA$22=TRUE,INDEX(CDRANGE_CLS3,MATCH($A59,$A$24:$A$67,0),MATCH(AA$20,$B$20:$G$20,0))&lt;$D$6/OPDAYS_Cls3),86,payback(E59,V59,disc_rate/12,85))</f>
        <v>86</v>
      </c>
      <c r="AB59" s="280" cm="1">
        <f t="array" aca="1" ref="AB59" ca="1">IF(AND(AB$22=TRUE,INDEX(CDRANGE_CLS3,MATCH($A59,$A$24:$A$67,0),MATCH(AB$20,$B$20:$G$20,0))&lt;$D$6/OPDAYS_Cls3),86,payback(F59,W59,disc_rate/12,85))</f>
        <v>10</v>
      </c>
      <c r="AC59" s="281" cm="1">
        <f t="array" aca="1" ref="AC59" ca="1">IF(AND(AC$22=TRUE,INDEX(CDRANGE_CLS3,MATCH($A59,$A$24:$A$67,0),MATCH(AC$20,$B$20:$G$20,0))&lt;$D$6/OPDAYS_Cls3),86,payback(G59,X59,disc_rate/12,85))</f>
        <v>86</v>
      </c>
      <c r="AD59" s="296">
        <f t="shared" si="35"/>
        <v>0</v>
      </c>
      <c r="AE59" s="297">
        <f t="shared" si="36"/>
        <v>0</v>
      </c>
      <c r="AF59" s="297">
        <f t="shared" si="37"/>
        <v>0</v>
      </c>
      <c r="AG59" s="297">
        <f t="shared" si="38"/>
        <v>0</v>
      </c>
      <c r="AH59" s="298">
        <f t="shared" si="39"/>
        <v>0</v>
      </c>
      <c r="AI59" s="595" cm="1">
        <f t="array" ref="AI59">IF($A59&lt;AI$23,0,AI$21+VLOOKUP($A59-AI$23,SCdata,2,1)*(AI$22-AI$21))*IF($D$5="Non-Central",INDEX(fuel_avail,$A59-$A$24+1,MATCH(O$21,Fuels,0)),1)</f>
        <v>0.49999886983785102</v>
      </c>
      <c r="AJ59" s="300" cm="1">
        <f t="array" ref="AJ59">IF($A59&lt;AJ$23,0,AJ$21+VLOOKUP($A59-AJ$23,SCdata,2,1)*(AJ$22-AJ$21))*IF($D$5="Non-Central",INDEX(fuel_avail,$A59-$A$24+1,MATCH(P$21,Fuels,0)),1)</f>
        <v>0.49999886983785102</v>
      </c>
      <c r="AK59" s="300" cm="1">
        <f t="array" ref="AK59">IF($A59&lt;AK$23,0,AK$21+VLOOKUP($A59-AK$23,SCdata,2,1)*(AK$22-AK$21))*IF($D$5="Non-Central",INDEX(fuel_avail,$A59-$A$24+1,MATCH(Q$21,Fuels,0)),1)</f>
        <v>0.49999886983785102</v>
      </c>
      <c r="AL59" s="300" cm="1">
        <f t="array" ref="AL59">IF($A59&lt;AL$23,0,AL$21+VLOOKUP($A59-AL$23,SCdata,2,1)*(AL$22-AL$21))*IF($D$5="Non-Central",INDEX(fuel_avail,$A59-$A$24+1,MATCH(R$21,Fuels,0)),1)</f>
        <v>0.49999886983785102</v>
      </c>
      <c r="AM59" s="598" cm="1">
        <f t="array" ref="AM59">IF($A59&lt;AM$23,0,AM$21+VLOOKUP($A59-AM$23,SCdata,2,1)*(AM$22-AM$21))*IF($D$5="Non-Central",INDEX(fuel_avail,$A59-$A$24+1,MATCH(S$21,Fuels,0)),1)</f>
        <v>0</v>
      </c>
      <c r="AN59" s="299">
        <f t="shared" si="52"/>
        <v>0.9989628862633001</v>
      </c>
      <c r="AO59" s="300">
        <f t="shared" si="52"/>
        <v>0.99420617054133997</v>
      </c>
      <c r="AP59" s="300">
        <f t="shared" si="52"/>
        <v>0.14691361804999636</v>
      </c>
      <c r="AQ59" s="300">
        <f t="shared" si="52"/>
        <v>0.53099236818258433</v>
      </c>
      <c r="AR59" s="598">
        <f t="shared" si="52"/>
        <v>0</v>
      </c>
      <c r="AS59" s="296">
        <f t="shared" ca="1" si="41"/>
        <v>0.99999773967570205</v>
      </c>
      <c r="AT59" s="297">
        <f t="shared" ca="1" si="42"/>
        <v>0.99999773967570205</v>
      </c>
      <c r="AU59" s="297">
        <f t="shared" si="43"/>
        <v>0</v>
      </c>
      <c r="AV59" s="297">
        <f t="shared" ca="1" si="44"/>
        <v>0.96102831968726332</v>
      </c>
      <c r="AW59" s="298">
        <f t="shared" ca="1" si="45"/>
        <v>0</v>
      </c>
      <c r="AX59" s="296">
        <f t="shared" ca="1" si="46"/>
        <v>0.99896062828321552</v>
      </c>
      <c r="AY59" s="297">
        <f t="shared" ca="1" si="46"/>
        <v>0.99420392331297547</v>
      </c>
      <c r="AZ59" s="297">
        <f t="shared" si="46"/>
        <v>0</v>
      </c>
      <c r="BA59" s="297">
        <f t="shared" ca="1" si="46"/>
        <v>0.5102987033612697</v>
      </c>
      <c r="BB59" s="298">
        <f t="shared" ca="1" si="46"/>
        <v>0</v>
      </c>
      <c r="BC59" s="296">
        <f t="shared" ca="1" si="53"/>
        <v>1.0393717167844763E-3</v>
      </c>
      <c r="BD59" s="297">
        <f t="shared" ca="1" si="47"/>
        <v>0.39861673019720584</v>
      </c>
      <c r="BE59" s="297">
        <f t="shared" ca="1" si="48"/>
        <v>0.39671865520999783</v>
      </c>
      <c r="BF59" s="297">
        <f t="shared" ca="1" si="49"/>
        <v>0</v>
      </c>
      <c r="BG59" s="297">
        <f t="shared" ca="1" si="50"/>
        <v>0.20362524287601191</v>
      </c>
      <c r="BH59" s="298">
        <f t="shared" ca="1" si="51"/>
        <v>0</v>
      </c>
    </row>
    <row r="60" spans="1:60" x14ac:dyDescent="0.2">
      <c r="A60" s="317">
        <v>2043</v>
      </c>
      <c r="B60" s="820" cm="1">
        <f t="array" ref="B60">ROUND(INDEX(COST_Cls3,$A60-($A$24-1),MATCH(B$20,TECHOPTS_Cls3,0)),2)</f>
        <v>84416.78</v>
      </c>
      <c r="C60" s="821" cm="1">
        <f t="array" ref="C60">ROUND(INDEX(COST_Cls3,$A60-($A$24-1),MATCH(C$20,TECHOPTS_Cls3,0)),2)</f>
        <v>1453.36</v>
      </c>
      <c r="D60" s="821" cm="1">
        <f t="array" ref="D60">ROUND(INDEX(COST_Cls3,$A60-($A$24-1),MATCH(D$20,TECHOPTS_Cls3,0)),2)</f>
        <v>3081</v>
      </c>
      <c r="E60" s="821" cm="1">
        <f t="array" ref="E60">ROUND(INDEX(COST_Cls3,$A60-($A$24-1),MATCH(E$20,TECHOPTS_Cls3,0)),2)</f>
        <v>59614.71</v>
      </c>
      <c r="F60" s="821" cm="1">
        <f t="array" ref="F60">ROUND(INDEX(COST_Cls3,$A60-($A$24-1),MATCH(F$20,TECHOPTS_Cls3,0)),2)</f>
        <v>35539.72</v>
      </c>
      <c r="G60" s="822" cm="1">
        <f t="array" ref="G60">ROUND(INDEX(COST_Cls3,$A60-($A$24-1),MATCH(G$20,TECHOPTS_Cls3,0)),2)</f>
        <v>1000000</v>
      </c>
      <c r="H60" s="781" cm="1">
        <f t="array" ref="H60">IF(H$21="Single-fuel",1,1-MIN(INDEX(CDRANGE_CLS3,$A60-($A$24-1),MATCH(H$20,TECHOPTS_Cls3,0))*OPDAYS_Cls3/$D$6,1))</f>
        <v>1</v>
      </c>
      <c r="I60" s="782" cm="1">
        <f t="array" ref="I60">IF(I$21="Single-fuel",1,1-MIN(INDEX(CDRANGE_CLS3,$A60-($A$24-1),MATCH(I$20,TECHOPTS_Cls3,0))*OPDAYS_Cls3/$D$6,1))</f>
        <v>1</v>
      </c>
      <c r="J60" s="782" cm="1">
        <f t="array" ref="J60">IF(J$21="Single-fuel",1,1-MIN(INDEX(CDRANGE_CLS3,$A60-($A$24-1),MATCH(J$20,TECHOPTS_Cls3,0))*OPDAYS_Cls3/$D$6,1))</f>
        <v>1</v>
      </c>
      <c r="K60" s="782" cm="1">
        <f t="array" ref="K60">IF(K$21="Single-fuel",1,1-MIN(INDEX(CDRANGE_CLS3,$A60-($A$24-1),MATCH(K$20,TECHOPTS_Cls3,0))*OPDAYS_Cls3/$D$6,1))</f>
        <v>1</v>
      </c>
      <c r="L60" s="782" cm="1">
        <f t="array" ref="L60">IF(L$21="Single-fuel",1,1-MIN(INDEX(CDRANGE_CLS3,$A60-($A$24-1),MATCH(L$20,TECHOPTS_Cls3,0))*OPDAYS_Cls3/$D$6,1))</f>
        <v>1</v>
      </c>
      <c r="M60" s="783" cm="1">
        <f t="array" ref="M60">IF(M$21="Single-fuel",1,1-MIN(INDEX(CDRANGE_CLS3,$A60-($A$24-1),MATCH(M$20,TECHOPTS_Cls3,0))*OPDAYS_Cls3/$D$6,1))</f>
        <v>1</v>
      </c>
      <c r="N60" s="733" cm="1">
        <f t="array" ref="N60">VLOOKUP($A60,IF($D$5="Central",FuelPriceCent,FuelPriceNCent),MATCH(N$21,FuelPriceCols,0),0)*(H60*$D$6)/(12*INDEX(FUEL1MPG_Cls3,$A60-($A$24-1),MATCH(N$20,TECHOPTS_Cls3,0)))+IFERROR(VLOOKUP($A60,IF($D$5="Central",FuelPriceCent,FuelPriceNCent),MATCH(INDEX($G$11:$G$16,MATCH(N$20,$B$11:$B$16,0)),FuelPriceCols,0),0),0)*((1-H60)*$D$6)/(12*INDEX(FUEL2MPG_Cls3,$A60-($A$24-1),MATCH(N$20,TECHOPTS_Cls3,0)))</f>
        <v>8841.83063030841</v>
      </c>
      <c r="O60" s="276" cm="1">
        <f t="array" ref="O60">VLOOKUP($A60,IF($D$5="Central",FuelPriceCent,FuelPriceNCent),MATCH(O$21,FuelPriceCols,0),0)*(I60*$D$6)/(12*INDEX(FUEL1MPG_Cls3,$A60-($A$24-1),MATCH(O$20,TECHOPTS_Cls3,0)))+IFERROR(VLOOKUP($A60,IF($D$5="Central",FuelPriceCent,FuelPriceNCent),MATCH(INDEX($G$11:$G$16,MATCH(O$20,$B$11:$B$16,0)),FuelPriceCols,0),0),0)*((1-I60)*$D$6)/(12*INDEX(FUEL2MPG_Cls3,$A60-($A$24-1),MATCH(O$20,TECHOPTS_Cls3,0)))</f>
        <v>7978.8944242493017</v>
      </c>
      <c r="P60" s="276" cm="1">
        <f t="array" ref="P60">VLOOKUP($A60,IF($D$5="Central",FuelPriceCent,FuelPriceNCent),MATCH(P$21,FuelPriceCols,0),0)*(J60*$D$6)/(12*INDEX(FUEL1MPG_Cls3,$A60-($A$24-1),MATCH(P$20,TECHOPTS_Cls3,0)))+IFERROR(VLOOKUP($A60,IF($D$5="Central",FuelPriceCent,FuelPriceNCent),MATCH(INDEX($G$11:$G$16,MATCH(P$20,$B$11:$B$16,0)),FuelPriceCols,0),0),0)*((1-J60)*$D$6)/(12*INDEX(FUEL2MPG_Cls3,$A60-($A$24-1),MATCH(P$20,TECHOPTS_Cls3,0)))</f>
        <v>4907.5589583232513</v>
      </c>
      <c r="Q60" s="276" cm="1">
        <f t="array" ref="Q60">VLOOKUP($A60,IF($D$5="Central",FuelPriceCent,FuelPriceNCent),MATCH(Q$21,FuelPriceCols,0),0)*(K60*$D$6)/(12*INDEX(FUEL1MPG_Cls3,$A60-($A$24-1),MATCH(Q$20,TECHOPTS_Cls3,0)))+IFERROR(VLOOKUP($A60,IF($D$5="Central",FuelPriceCent,FuelPriceNCent),MATCH(INDEX($G$11:$G$16,MATCH(Q$20,$B$11:$B$16,0)),FuelPriceCols,0),0),0)*((1-K60)*$D$6)/(12*INDEX(FUEL2MPG_Cls3,$A60-($A$24-1),MATCH(Q$20,TECHOPTS_Cls3,0)))</f>
        <v>4109.3574990115058</v>
      </c>
      <c r="R60" s="276" cm="1">
        <f t="array" ref="R60">VLOOKUP($A60,IF($D$5="Central",FuelPriceCent,FuelPriceNCent),MATCH(R$21,FuelPriceCols,0),0)*(L60*$D$6)/(12*INDEX(FUEL1MPG_Cls3,$A60-($A$24-1),MATCH(R$20,TECHOPTS_Cls3,0)))+IFERROR(VLOOKUP($A60,IF($D$5="Central",FuelPriceCent,FuelPriceNCent),MATCH(INDEX($G$11:$G$16,MATCH(R$20,$B$11:$B$16,0)),FuelPriceCols,0),0),0)*((1-L60)*$D$6)/(12*INDEX(FUEL2MPG_Cls3,$A60-($A$24-1),MATCH(R$20,TECHOPTS_Cls3,0)))</f>
        <v>4110.3834731081151</v>
      </c>
      <c r="S60" s="278" cm="1">
        <f t="array" ref="S60">VLOOKUP($A60,IF($D$5="Central",FuelPriceCent,FuelPriceNCent),MATCH(S$21,FuelPriceCols,0),0)*(M60*$D$6)/(12*INDEX(FUEL1MPG_Cls3,$A60-($A$24-1),MATCH(S$20,TECHOPTS_Cls3,0)))+IFERROR(VLOOKUP($A60,IF($D$5="Central",FuelPriceCent,FuelPriceNCent),MATCH(INDEX($G$11:$G$16,MATCH(S$20,$B$11:$B$16,0)),FuelPriceCols,0),0),0)*((1-M60)*$D$6)/(12*INDEX(FUEL2MPG_Cls3,$A60-($A$24-1),MATCH(S$20,TECHOPTS_Cls3,0)))</f>
        <v>69742.279141874998</v>
      </c>
      <c r="T60" s="734">
        <f t="shared" si="30"/>
        <v>862.93620605910837</v>
      </c>
      <c r="U60" s="290">
        <f t="shared" si="31"/>
        <v>3934.2716719851587</v>
      </c>
      <c r="V60" s="290">
        <f t="shared" si="32"/>
        <v>4732.4731312969043</v>
      </c>
      <c r="W60" s="290">
        <f t="shared" si="33"/>
        <v>4731.4471572002949</v>
      </c>
      <c r="X60" s="291">
        <f t="shared" si="34"/>
        <v>-60900.448511566588</v>
      </c>
      <c r="Y60" s="279" cm="1">
        <f t="array" aca="1" ref="Y60" ca="1">IF(AND(Y$22=TRUE,INDEX(CDRANGE_CLS3,MATCH($A60,$A$24:$A$67,0),MATCH(Y$20,$B$20:$G$20,0))&lt;$D$6/OPDAYS_Cls3),86,payback(C60,T60,disc_rate/12,85))</f>
        <v>2</v>
      </c>
      <c r="Z60" s="280" cm="1">
        <f t="array" aca="1" ref="Z60" ca="1">IF(AND(Z$22=TRUE,INDEX(CDRANGE_CLS3,MATCH($A60,$A$24:$A$67,0),MATCH(Z$20,$B$20:$G$20,0))&lt;$D$6/OPDAYS_Cls3),86,payback(D60,U60,disc_rate/12,85))</f>
        <v>1</v>
      </c>
      <c r="AA60" s="280" cm="1">
        <f t="array" ref="AA60">IF(AND(AA$22=TRUE,INDEX(CDRANGE_CLS3,MATCH($A60,$A$24:$A$67,0),MATCH(AA$20,$B$20:$G$20,0))&lt;$D$6/OPDAYS_Cls3),86,payback(E60,V60,disc_rate/12,85))</f>
        <v>86</v>
      </c>
      <c r="AB60" s="280" cm="1">
        <f t="array" aca="1" ref="AB60" ca="1">IF(AND(AB$22=TRUE,INDEX(CDRANGE_CLS3,MATCH($A60,$A$24:$A$67,0),MATCH(AB$20,$B$20:$G$20,0))&lt;$D$6/OPDAYS_Cls3),86,payback(F60,W60,disc_rate/12,85))</f>
        <v>8</v>
      </c>
      <c r="AC60" s="281" cm="1">
        <f t="array" aca="1" ref="AC60" ca="1">IF(AND(AC$22=TRUE,INDEX(CDRANGE_CLS3,MATCH($A60,$A$24:$A$67,0),MATCH(AC$20,$B$20:$G$20,0))&lt;$D$6/OPDAYS_Cls3),86,payback(G60,X60,disc_rate/12,85))</f>
        <v>86</v>
      </c>
      <c r="AD60" s="296">
        <f t="shared" si="35"/>
        <v>0</v>
      </c>
      <c r="AE60" s="297">
        <f t="shared" si="36"/>
        <v>0</v>
      </c>
      <c r="AF60" s="297">
        <f t="shared" si="37"/>
        <v>0</v>
      </c>
      <c r="AG60" s="297">
        <f t="shared" si="38"/>
        <v>0</v>
      </c>
      <c r="AH60" s="298">
        <f t="shared" si="39"/>
        <v>0</v>
      </c>
      <c r="AI60" s="595" cm="1">
        <f t="array" ref="AI60">IF($A60&lt;AI$23,0,AI$21+VLOOKUP($A60-AI$23,SCdata,2,1)*(AI$22-AI$21))*IF($D$5="Non-Central",INDEX(fuel_avail,$A60-$A$24+1,MATCH(O$21,Fuels,0)),1)</f>
        <v>0.49999958423598612</v>
      </c>
      <c r="AJ60" s="300" cm="1">
        <f t="array" ref="AJ60">IF($A60&lt;AJ$23,0,AJ$21+VLOOKUP($A60-AJ$23,SCdata,2,1)*(AJ$22-AJ$21))*IF($D$5="Non-Central",INDEX(fuel_avail,$A60-$A$24+1,MATCH(P$21,Fuels,0)),1)</f>
        <v>0.49999958423598612</v>
      </c>
      <c r="AK60" s="300" cm="1">
        <f t="array" ref="AK60">IF($A60&lt;AK$23,0,AK$21+VLOOKUP($A60-AK$23,SCdata,2,1)*(AK$22-AK$21))*IF($D$5="Non-Central",INDEX(fuel_avail,$A60-$A$24+1,MATCH(Q$21,Fuels,0)),1)</f>
        <v>0.49999958423598612</v>
      </c>
      <c r="AL60" s="300" cm="1">
        <f t="array" ref="AL60">IF($A60&lt;AL$23,0,AL$21+VLOOKUP($A60-AL$23,SCdata,2,1)*(AL$22-AL$21))*IF($D$5="Non-Central",INDEX(fuel_avail,$A60-$A$24+1,MATCH(R$21,Fuels,0)),1)</f>
        <v>0.49999958423598612</v>
      </c>
      <c r="AM60" s="598" cm="1">
        <f t="array" ref="AM60">IF($A60&lt;AM$23,0,AM$21+VLOOKUP($A60-AM$23,SCdata,2,1)*(AM$22-AM$21))*IF($D$5="Non-Central",INDEX(fuel_avail,$A60-$A$24+1,MATCH(S$21,Fuels,0)),1)</f>
        <v>0</v>
      </c>
      <c r="AN60" s="299">
        <f t="shared" si="52"/>
        <v>0.9991769853532726</v>
      </c>
      <c r="AO60" s="300">
        <f t="shared" si="52"/>
        <v>0.99630665315824374</v>
      </c>
      <c r="AP60" s="300">
        <f t="shared" si="52"/>
        <v>0.25024634192404061</v>
      </c>
      <c r="AQ60" s="300">
        <f t="shared" si="52"/>
        <v>0.61119257254208792</v>
      </c>
      <c r="AR60" s="598">
        <f t="shared" si="52"/>
        <v>0</v>
      </c>
      <c r="AS60" s="296">
        <f t="shared" ca="1" si="41"/>
        <v>0.99999916847197223</v>
      </c>
      <c r="AT60" s="297">
        <f t="shared" ca="1" si="42"/>
        <v>0.99999916847197223</v>
      </c>
      <c r="AU60" s="297">
        <f t="shared" si="43"/>
        <v>0</v>
      </c>
      <c r="AV60" s="297">
        <f t="shared" ca="1" si="44"/>
        <v>0.98864913792366504</v>
      </c>
      <c r="AW60" s="298">
        <f t="shared" ca="1" si="45"/>
        <v>0</v>
      </c>
      <c r="AX60" s="296">
        <f t="shared" ca="1" si="46"/>
        <v>0.99917615450960462</v>
      </c>
      <c r="AY60" s="297">
        <f t="shared" ca="1" si="46"/>
        <v>0.99630582470133744</v>
      </c>
      <c r="AZ60" s="297">
        <f t="shared" si="46"/>
        <v>0</v>
      </c>
      <c r="BA60" s="297">
        <f t="shared" ca="1" si="46"/>
        <v>0.60425500994908232</v>
      </c>
      <c r="BB60" s="298">
        <f t="shared" ca="1" si="46"/>
        <v>0</v>
      </c>
      <c r="BC60" s="296">
        <f t="shared" ca="1" si="53"/>
        <v>8.2384549039549171E-4</v>
      </c>
      <c r="BD60" s="297">
        <f t="shared" ca="1" si="47"/>
        <v>0.3840207651402342</v>
      </c>
      <c r="BE60" s="297">
        <f t="shared" ca="1" si="48"/>
        <v>0.38291759004523146</v>
      </c>
      <c r="BF60" s="297">
        <f t="shared" ca="1" si="49"/>
        <v>0</v>
      </c>
      <c r="BG60" s="297">
        <f t="shared" ca="1" si="50"/>
        <v>0.23223779932413896</v>
      </c>
      <c r="BH60" s="298">
        <f t="shared" ca="1" si="51"/>
        <v>0</v>
      </c>
    </row>
    <row r="61" spans="1:60" x14ac:dyDescent="0.2">
      <c r="A61" s="317">
        <v>2044</v>
      </c>
      <c r="B61" s="820" cm="1">
        <f t="array" ref="B61">ROUND(INDEX(COST_Cls3,$A61-($A$24-1),MATCH(B$20,TECHOPTS_Cls3,0)),2)</f>
        <v>84454.39</v>
      </c>
      <c r="C61" s="821" cm="1">
        <f t="array" ref="C61">ROUND(INDEX(COST_Cls3,$A61-($A$24-1),MATCH(C$20,TECHOPTS_Cls3,0)),2)</f>
        <v>1270.0999999999999</v>
      </c>
      <c r="D61" s="821" cm="1">
        <f t="array" ref="D61">ROUND(INDEX(COST_Cls3,$A61-($A$24-1),MATCH(D$20,TECHOPTS_Cls3,0)),2)</f>
        <v>2277.9899999999998</v>
      </c>
      <c r="E61" s="821" cm="1">
        <f t="array" ref="E61">ROUND(INDEX(COST_Cls3,$A61-($A$24-1),MATCH(E$20,TECHOPTS_Cls3,0)),2)</f>
        <v>48778.73</v>
      </c>
      <c r="F61" s="821" cm="1">
        <f t="array" ref="F61">ROUND(INDEX(COST_Cls3,$A61-($A$24-1),MATCH(F$20,TECHOPTS_Cls3,0)),2)</f>
        <v>30645.58</v>
      </c>
      <c r="G61" s="822" cm="1">
        <f t="array" ref="G61">ROUND(INDEX(COST_Cls3,$A61-($A$24-1),MATCH(G$20,TECHOPTS_Cls3,0)),2)</f>
        <v>1000000</v>
      </c>
      <c r="H61" s="781" cm="1">
        <f t="array" ref="H61">IF(H$21="Single-fuel",1,1-MIN(INDEX(CDRANGE_CLS3,$A61-($A$24-1),MATCH(H$20,TECHOPTS_Cls3,0))*OPDAYS_Cls3/$D$6,1))</f>
        <v>1</v>
      </c>
      <c r="I61" s="782" cm="1">
        <f t="array" ref="I61">IF(I$21="Single-fuel",1,1-MIN(INDEX(CDRANGE_CLS3,$A61-($A$24-1),MATCH(I$20,TECHOPTS_Cls3,0))*OPDAYS_Cls3/$D$6,1))</f>
        <v>1</v>
      </c>
      <c r="J61" s="782" cm="1">
        <f t="array" ref="J61">IF(J$21="Single-fuel",1,1-MIN(INDEX(CDRANGE_CLS3,$A61-($A$24-1),MATCH(J$20,TECHOPTS_Cls3,0))*OPDAYS_Cls3/$D$6,1))</f>
        <v>1</v>
      </c>
      <c r="K61" s="782" cm="1">
        <f t="array" ref="K61">IF(K$21="Single-fuel",1,1-MIN(INDEX(CDRANGE_CLS3,$A61-($A$24-1),MATCH(K$20,TECHOPTS_Cls3,0))*OPDAYS_Cls3/$D$6,1))</f>
        <v>1</v>
      </c>
      <c r="L61" s="782" cm="1">
        <f t="array" ref="L61">IF(L$21="Single-fuel",1,1-MIN(INDEX(CDRANGE_CLS3,$A61-($A$24-1),MATCH(L$20,TECHOPTS_Cls3,0))*OPDAYS_Cls3/$D$6,1))</f>
        <v>1</v>
      </c>
      <c r="M61" s="783" cm="1">
        <f t="array" ref="M61">IF(M$21="Single-fuel",1,1-MIN(INDEX(CDRANGE_CLS3,$A61-($A$24-1),MATCH(M$20,TECHOPTS_Cls3,0))*OPDAYS_Cls3/$D$6,1))</f>
        <v>1</v>
      </c>
      <c r="N61" s="733" cm="1">
        <f t="array" ref="N61">VLOOKUP($A61,IF($D$5="Central",FuelPriceCent,FuelPriceNCent),MATCH(N$21,FuelPriceCols,0),0)*(H61*$D$6)/(12*INDEX(FUEL1MPG_Cls3,$A61-($A$24-1),MATCH(N$20,TECHOPTS_Cls3,0)))+IFERROR(VLOOKUP($A61,IF($D$5="Central",FuelPriceCent,FuelPriceNCent),MATCH(INDEX($G$11:$G$16,MATCH(N$20,$B$11:$B$16,0)),FuelPriceCols,0),0),0)*((1-H61)*$D$6)/(12*INDEX(FUEL2MPG_Cls3,$A61-($A$24-1),MATCH(N$20,TECHOPTS_Cls3,0)))</f>
        <v>8906.7360271397465</v>
      </c>
      <c r="O61" s="276" cm="1">
        <f t="array" ref="O61">VLOOKUP($A61,IF($D$5="Central",FuelPriceCent,FuelPriceNCent),MATCH(O$21,FuelPriceCols,0),0)*(I61*$D$6)/(12*INDEX(FUEL1MPG_Cls3,$A61-($A$24-1),MATCH(O$20,TECHOPTS_Cls3,0)))+IFERROR(VLOOKUP($A61,IF($D$5="Central",FuelPriceCent,FuelPriceNCent),MATCH(INDEX($G$11:$G$16,MATCH(O$20,$B$11:$B$16,0)),FuelPriceCols,0),0),0)*((1-I61)*$D$6)/(12*INDEX(FUEL2MPG_Cls3,$A61-($A$24-1),MATCH(O$20,TECHOPTS_Cls3,0)))</f>
        <v>7854.9146136309701</v>
      </c>
      <c r="P61" s="276" cm="1">
        <f t="array" ref="P61">VLOOKUP($A61,IF($D$5="Central",FuelPriceCent,FuelPriceNCent),MATCH(P$21,FuelPriceCols,0),0)*(J61*$D$6)/(12*INDEX(FUEL1MPG_Cls3,$A61-($A$24-1),MATCH(P$20,TECHOPTS_Cls3,0)))+IFERROR(VLOOKUP($A61,IF($D$5="Central",FuelPriceCent,FuelPriceNCent),MATCH(INDEX($G$11:$G$16,MATCH(P$20,$B$11:$B$16,0)),FuelPriceCols,0),0),0)*((1-J61)*$D$6)/(12*INDEX(FUEL2MPG_Cls3,$A61-($A$24-1),MATCH(P$20,TECHOPTS_Cls3,0)))</f>
        <v>4758.7523547130077</v>
      </c>
      <c r="Q61" s="276" cm="1">
        <f t="array" ref="Q61">VLOOKUP($A61,IF($D$5="Central",FuelPriceCent,FuelPriceNCent),MATCH(Q$21,FuelPriceCols,0),0)*(K61*$D$6)/(12*INDEX(FUEL1MPG_Cls3,$A61-($A$24-1),MATCH(Q$20,TECHOPTS_Cls3,0)))+IFERROR(VLOOKUP($A61,IF($D$5="Central",FuelPriceCent,FuelPriceNCent),MATCH(INDEX($G$11:$G$16,MATCH(Q$20,$B$11:$B$16,0)),FuelPriceCols,0),0),0)*((1-K61)*$D$6)/(12*INDEX(FUEL2MPG_Cls3,$A61-($A$24-1),MATCH(Q$20,TECHOPTS_Cls3,0)))</f>
        <v>3507.7648523661874</v>
      </c>
      <c r="R61" s="276" cm="1">
        <f t="array" ref="R61">VLOOKUP($A61,IF($D$5="Central",FuelPriceCent,FuelPriceNCent),MATCH(R$21,FuelPriceCols,0),0)*(L61*$D$6)/(12*INDEX(FUEL1MPG_Cls3,$A61-($A$24-1),MATCH(R$20,TECHOPTS_Cls3,0)))+IFERROR(VLOOKUP($A61,IF($D$5="Central",FuelPriceCent,FuelPriceNCent),MATCH(INDEX($G$11:$G$16,MATCH(R$20,$B$11:$B$16,0)),FuelPriceCols,0),0),0)*((1-L61)*$D$6)/(12*INDEX(FUEL2MPG_Cls3,$A61-($A$24-1),MATCH(R$20,TECHOPTS_Cls3,0)))</f>
        <v>3835.675674141718</v>
      </c>
      <c r="S61" s="278" cm="1">
        <f t="array" ref="S61">VLOOKUP($A61,IF($D$5="Central",FuelPriceCent,FuelPriceNCent),MATCH(S$21,FuelPriceCols,0),0)*(M61*$D$6)/(12*INDEX(FUEL1MPG_Cls3,$A61-($A$24-1),MATCH(S$20,TECHOPTS_Cls3,0)))+IFERROR(VLOOKUP($A61,IF($D$5="Central",FuelPriceCent,FuelPriceNCent),MATCH(INDEX($G$11:$G$16,MATCH(S$20,$B$11:$B$16,0)),FuelPriceCols,0),0),0)*((1-M61)*$D$6)/(12*INDEX(FUEL2MPG_Cls3,$A61-($A$24-1),MATCH(S$20,TECHOPTS_Cls3,0)))</f>
        <v>70287.768037499991</v>
      </c>
      <c r="T61" s="734">
        <f t="shared" si="30"/>
        <v>1051.8214135087765</v>
      </c>
      <c r="U61" s="290">
        <f t="shared" si="31"/>
        <v>4147.9836724267388</v>
      </c>
      <c r="V61" s="290">
        <f t="shared" si="32"/>
        <v>5398.9711747735591</v>
      </c>
      <c r="W61" s="290">
        <f t="shared" si="33"/>
        <v>5071.060352998029</v>
      </c>
      <c r="X61" s="291">
        <f t="shared" si="34"/>
        <v>-61381.032010360243</v>
      </c>
      <c r="Y61" s="279" cm="1">
        <f t="array" aca="1" ref="Y61" ca="1">IF(AND(Y$22=TRUE,INDEX(CDRANGE_CLS3,MATCH($A61,$A$24:$A$67,0),MATCH(Y$20,$B$20:$G$20,0))&lt;$D$6/OPDAYS_Cls3),86,payback(C61,T61,disc_rate/12,85))</f>
        <v>2</v>
      </c>
      <c r="Z61" s="280" cm="1">
        <f t="array" aca="1" ref="Z61" ca="1">IF(AND(Z$22=TRUE,INDEX(CDRANGE_CLS3,MATCH($A61,$A$24:$A$67,0),MATCH(Z$20,$B$20:$G$20,0))&lt;$D$6/OPDAYS_Cls3),86,payback(D61,U61,disc_rate/12,85))</f>
        <v>1</v>
      </c>
      <c r="AA61" s="280" cm="1">
        <f t="array" ref="AA61">IF(AND(AA$22=TRUE,INDEX(CDRANGE_CLS3,MATCH($A61,$A$24:$A$67,0),MATCH(AA$20,$B$20:$G$20,0))&lt;$D$6/OPDAYS_Cls3),86,payback(E61,V61,disc_rate/12,85))</f>
        <v>86</v>
      </c>
      <c r="AB61" s="280" cm="1">
        <f t="array" aca="1" ref="AB61" ca="1">IF(AND(AB$22=TRUE,INDEX(CDRANGE_CLS3,MATCH($A61,$A$24:$A$67,0),MATCH(AB$20,$B$20:$G$20,0))&lt;$D$6/OPDAYS_Cls3),86,payback(F61,W61,disc_rate/12,85))</f>
        <v>7</v>
      </c>
      <c r="AC61" s="281" cm="1">
        <f t="array" aca="1" ref="AC61" ca="1">IF(AND(AC$22=TRUE,INDEX(CDRANGE_CLS3,MATCH($A61,$A$24:$A$67,0),MATCH(AC$20,$B$20:$G$20,0))&lt;$D$6/OPDAYS_Cls3),86,payback(G61,X61,disc_rate/12,85))</f>
        <v>86</v>
      </c>
      <c r="AD61" s="296">
        <f t="shared" si="35"/>
        <v>0</v>
      </c>
      <c r="AE61" s="297">
        <f t="shared" si="36"/>
        <v>0</v>
      </c>
      <c r="AF61" s="297">
        <f t="shared" si="37"/>
        <v>0</v>
      </c>
      <c r="AG61" s="297">
        <f t="shared" si="38"/>
        <v>0</v>
      </c>
      <c r="AH61" s="298">
        <f t="shared" si="39"/>
        <v>0</v>
      </c>
      <c r="AI61" s="595" cm="1">
        <f t="array" ref="AI61">IF($A61&lt;AI$23,0,AI$21+VLOOKUP($A61-AI$23,SCdata,2,1)*(AI$22-AI$21))*IF($D$5="Non-Central",INDEX(fuel_avail,$A61-$A$24+1,MATCH(O$21,Fuels,0)),1)</f>
        <v>0.4999998470488865</v>
      </c>
      <c r="AJ61" s="300" cm="1">
        <f t="array" ref="AJ61">IF($A61&lt;AJ$23,0,AJ$21+VLOOKUP($A61-AJ$23,SCdata,2,1)*(AJ$22-AJ$21))*IF($D$5="Non-Central",INDEX(fuel_avail,$A61-$A$24+1,MATCH(P$21,Fuels,0)),1)</f>
        <v>0.4999998470488865</v>
      </c>
      <c r="AK61" s="300" cm="1">
        <f t="array" ref="AK61">IF($A61&lt;AK$23,0,AK$21+VLOOKUP($A61-AK$23,SCdata,2,1)*(AK$22-AK$21))*IF($D$5="Non-Central",INDEX(fuel_avail,$A61-$A$24+1,MATCH(Q$21,Fuels,0)),1)</f>
        <v>0.4999998470488865</v>
      </c>
      <c r="AL61" s="300" cm="1">
        <f t="array" ref="AL61">IF($A61&lt;AL$23,0,AL$21+VLOOKUP($A61-AL$23,SCdata,2,1)*(AL$22-AL$21))*IF($D$5="Non-Central",INDEX(fuel_avail,$A61-$A$24+1,MATCH(R$21,Fuels,0)),1)</f>
        <v>0.4999998470488865</v>
      </c>
      <c r="AM61" s="598" cm="1">
        <f t="array" ref="AM61">IF($A61&lt;AM$23,0,AM$21+VLOOKUP($A61-AM$23,SCdata,2,1)*(AM$22-AM$21))*IF($D$5="Non-Central",INDEX(fuel_avail,$A61-$A$24+1,MATCH(S$21,Fuels,0)),1)</f>
        <v>0</v>
      </c>
      <c r="AN61" s="299">
        <f t="shared" si="52"/>
        <v>0.99937195254809619</v>
      </c>
      <c r="AO61" s="300">
        <f t="shared" si="52"/>
        <v>0.99798108564506038</v>
      </c>
      <c r="AP61" s="300">
        <f t="shared" si="52"/>
        <v>0.39587912779914702</v>
      </c>
      <c r="AQ61" s="300">
        <f t="shared" si="52"/>
        <v>0.69367363042281727</v>
      </c>
      <c r="AR61" s="598">
        <f t="shared" si="52"/>
        <v>0</v>
      </c>
      <c r="AS61" s="296">
        <f t="shared" ca="1" si="41"/>
        <v>0.99999969409777301</v>
      </c>
      <c r="AT61" s="297">
        <f t="shared" ca="1" si="42"/>
        <v>0.99999969409777301</v>
      </c>
      <c r="AU61" s="297">
        <f t="shared" si="43"/>
        <v>0</v>
      </c>
      <c r="AV61" s="297">
        <f t="shared" ca="1" si="44"/>
        <v>0.99672698050593345</v>
      </c>
      <c r="AW61" s="298">
        <f t="shared" ca="1" si="45"/>
        <v>0</v>
      </c>
      <c r="AX61" s="296">
        <f t="shared" ca="1" si="46"/>
        <v>0.99937164683799029</v>
      </c>
      <c r="AY61" s="297">
        <f t="shared" ca="1" si="46"/>
        <v>0.99798078036042381</v>
      </c>
      <c r="AZ61" s="297">
        <f t="shared" si="46"/>
        <v>0</v>
      </c>
      <c r="BA61" s="297">
        <f t="shared" ca="1" si="46"/>
        <v>0.69140322310792346</v>
      </c>
      <c r="BB61" s="298">
        <f t="shared" ca="1" si="46"/>
        <v>0</v>
      </c>
      <c r="BC61" s="296">
        <f t="shared" ca="1" si="53"/>
        <v>6.2835316200959834E-4</v>
      </c>
      <c r="BD61" s="297">
        <f t="shared" ca="1" si="47"/>
        <v>0.37145200918123117</v>
      </c>
      <c r="BE61" s="297">
        <f t="shared" ca="1" si="48"/>
        <v>0.37093504419705381</v>
      </c>
      <c r="BF61" s="297">
        <f t="shared" ca="1" si="49"/>
        <v>0</v>
      </c>
      <c r="BG61" s="297">
        <f t="shared" ca="1" si="50"/>
        <v>0.25698459345970537</v>
      </c>
      <c r="BH61" s="298">
        <f t="shared" ca="1" si="51"/>
        <v>0</v>
      </c>
    </row>
    <row r="62" spans="1:60" ht="13.5" thickBot="1" x14ac:dyDescent="0.25">
      <c r="A62" s="302">
        <v>2045</v>
      </c>
      <c r="B62" s="823" cm="1">
        <f t="array" ref="B62">ROUND(INDEX(COST_Cls3,$A62-($A$24-1),MATCH(B$20,TECHOPTS_Cls3,0)),2)</f>
        <v>84486.5</v>
      </c>
      <c r="C62" s="824" cm="1">
        <f t="array" ref="C62">ROUND(INDEX(COST_Cls3,$A62-($A$24-1),MATCH(C$20,TECHOPTS_Cls3,0)),2)</f>
        <v>1102.75</v>
      </c>
      <c r="D62" s="824" cm="1">
        <f t="array" ref="D62">ROUND(INDEX(COST_Cls3,$A62-($A$24-1),MATCH(D$20,TECHOPTS_Cls3,0)),2)</f>
        <v>1544.71</v>
      </c>
      <c r="E62" s="824" cm="1">
        <f t="array" ref="E62">ROUND(INDEX(COST_Cls3,$A62-($A$24-1),MATCH(E$20,TECHOPTS_Cls3,0)),2)</f>
        <v>38883.769999999997</v>
      </c>
      <c r="F62" s="824" cm="1">
        <f t="array" ref="F62">ROUND(INDEX(COST_Cls3,$A62-($A$24-1),MATCH(F$20,TECHOPTS_Cls3,0)),2)</f>
        <v>26176.46</v>
      </c>
      <c r="G62" s="825" cm="1">
        <f t="array" ref="G62">ROUND(INDEX(COST_Cls3,$A62-($A$24-1),MATCH(G$20,TECHOPTS_Cls3,0)),2)</f>
        <v>1000000</v>
      </c>
      <c r="H62" s="781" cm="1">
        <f t="array" ref="H62">IF(H$21="Single-fuel",1,1-MIN(INDEX(CDRANGE_CLS3,$A62-($A$24-1),MATCH(H$20,TECHOPTS_Cls3,0))*OPDAYS_Cls3/$D$6,1))</f>
        <v>1</v>
      </c>
      <c r="I62" s="782" cm="1">
        <f t="array" ref="I62">IF(I$21="Single-fuel",1,1-MIN(INDEX(CDRANGE_CLS3,$A62-($A$24-1),MATCH(I$20,TECHOPTS_Cls3,0))*OPDAYS_Cls3/$D$6,1))</f>
        <v>1</v>
      </c>
      <c r="J62" s="782" cm="1">
        <f t="array" ref="J62">IF(J$21="Single-fuel",1,1-MIN(INDEX(CDRANGE_CLS3,$A62-($A$24-1),MATCH(J$20,TECHOPTS_Cls3,0))*OPDAYS_Cls3/$D$6,1))</f>
        <v>1</v>
      </c>
      <c r="K62" s="782" cm="1">
        <f t="array" ref="K62">IF(K$21="Single-fuel",1,1-MIN(INDEX(CDRANGE_CLS3,$A62-($A$24-1),MATCH(K$20,TECHOPTS_Cls3,0))*OPDAYS_Cls3/$D$6,1))</f>
        <v>1</v>
      </c>
      <c r="L62" s="782" cm="1">
        <f t="array" ref="L62">IF(L$21="Single-fuel",1,1-MIN(INDEX(CDRANGE_CLS3,$A62-($A$24-1),MATCH(L$20,TECHOPTS_Cls3,0))*OPDAYS_Cls3/$D$6,1))</f>
        <v>1</v>
      </c>
      <c r="M62" s="783" cm="1">
        <f t="array" ref="M62">IF(M$21="Single-fuel",1,1-MIN(INDEX(CDRANGE_CLS3,$A62-($A$24-1),MATCH(M$20,TECHOPTS_Cls3,0))*OPDAYS_Cls3/$D$6,1))</f>
        <v>1</v>
      </c>
      <c r="N62" s="883" cm="1">
        <f t="array" ref="N62">VLOOKUP($A62,IF($D$5="Central",FuelPriceCent,FuelPriceNCent),MATCH(N$21,FuelPriceCols,0),0)*(H62*$D$6)/(12*INDEX(FUEL1MPG_Cls3,$A62-($A$24-1),MATCH(N$20,TECHOPTS_Cls3,0)))+IFERROR(VLOOKUP($A62,IF($D$5="Central",FuelPriceCent,FuelPriceNCent),MATCH(INDEX($G$11:$G$16,MATCH(N$20,$B$11:$B$16,0)),FuelPriceCols,0),0),0)*((1-H62)*$D$6)/(12*INDEX(FUEL2MPG_Cls3,$A62-($A$24-1),MATCH(N$20,TECHOPTS_Cls3,0)))</f>
        <v>9025.3793774296664</v>
      </c>
      <c r="O62" s="779" cm="1">
        <f t="array" ref="O62">VLOOKUP($A62,IF($D$5="Central",FuelPriceCent,FuelPriceNCent),MATCH(O$21,FuelPriceCols,0),0)*(I62*$D$6)/(12*INDEX(FUEL1MPG_Cls3,$A62-($A$24-1),MATCH(O$20,TECHOPTS_Cls3,0)))+IFERROR(VLOOKUP($A62,IF($D$5="Central",FuelPriceCent,FuelPriceNCent),MATCH(INDEX($G$11:$G$16,MATCH(O$20,$B$11:$B$16,0)),FuelPriceCols,0),0),0)*((1-I62)*$D$6)/(12*INDEX(FUEL2MPG_Cls3,$A62-($A$24-1),MATCH(O$20,TECHOPTS_Cls3,0)))</f>
        <v>7797.7419944987796</v>
      </c>
      <c r="P62" s="779" cm="1">
        <f t="array" ref="P62">VLOOKUP($A62,IF($D$5="Central",FuelPriceCent,FuelPriceNCent),MATCH(P$21,FuelPriceCols,0),0)*(J62*$D$6)/(12*INDEX(FUEL1MPG_Cls3,$A62-($A$24-1),MATCH(P$20,TECHOPTS_Cls3,0)))+IFERROR(VLOOKUP($A62,IF($D$5="Central",FuelPriceCent,FuelPriceNCent),MATCH(INDEX($G$11:$G$16,MATCH(P$20,$B$11:$B$16,0)),FuelPriceCols,0),0),0)*((1-J62)*$D$6)/(12*INDEX(FUEL2MPG_Cls3,$A62-($A$24-1),MATCH(P$20,TECHOPTS_Cls3,0)))</f>
        <v>4662.9504014836939</v>
      </c>
      <c r="Q62" s="779" cm="1">
        <f t="array" ref="Q62">VLOOKUP($A62,IF($D$5="Central",FuelPriceCent,FuelPriceNCent),MATCH(Q$21,FuelPriceCols,0),0)*(K62*$D$6)/(12*INDEX(FUEL1MPG_Cls3,$A62-($A$24-1),MATCH(Q$20,TECHOPTS_Cls3,0)))+IFERROR(VLOOKUP($A62,IF($D$5="Central",FuelPriceCent,FuelPriceNCent),MATCH(INDEX($G$11:$G$16,MATCH(Q$20,$B$11:$B$16,0)),FuelPriceCols,0),0),0)*((1-K62)*$D$6)/(12*INDEX(FUEL2MPG_Cls3,$A62-($A$24-1),MATCH(Q$20,TECHOPTS_Cls3,0)))</f>
        <v>3009.3186706505599</v>
      </c>
      <c r="R62" s="779" cm="1">
        <f t="array" ref="R62">VLOOKUP($A62,IF($D$5="Central",FuelPriceCent,FuelPriceNCent),MATCH(R$21,FuelPriceCols,0),0)*(L62*$D$6)/(12*INDEX(FUEL1MPG_Cls3,$A62-($A$24-1),MATCH(R$20,TECHOPTS_Cls3,0)))+IFERROR(VLOOKUP($A62,IF($D$5="Central",FuelPriceCent,FuelPriceNCent),MATCH(INDEX($G$11:$G$16,MATCH(R$20,$B$11:$B$16,0)),FuelPriceCols,0),0),0)*((1-L62)*$D$6)/(12*INDEX(FUEL2MPG_Cls3,$A62-($A$24-1),MATCH(R$20,TECHOPTS_Cls3,0)))</f>
        <v>3596.5809094852889</v>
      </c>
      <c r="S62" s="780" cm="1">
        <f t="array" ref="S62">VLOOKUP($A62,IF($D$5="Central",FuelPriceCent,FuelPriceNCent),MATCH(S$21,FuelPriceCols,0),0)*(M62*$D$6)/(12*INDEX(FUEL1MPG_Cls3,$A62-($A$24-1),MATCH(S$20,TECHOPTS_Cls3,0)))+IFERROR(VLOOKUP($A62,IF($D$5="Central",FuelPriceCent,FuelPriceNCent),MATCH(INDEX($G$11:$G$16,MATCH(S$20,$B$11:$B$16,0)),FuelPriceCols,0),0),0)*((1-M62)*$D$6)/(12*INDEX(FUEL2MPG_Cls3,$A62-($A$24-1),MATCH(S$20,TECHOPTS_Cls3,0)))</f>
        <v>71253.042018749999</v>
      </c>
      <c r="T62" s="737">
        <f t="shared" si="30"/>
        <v>1227.6373829308868</v>
      </c>
      <c r="U62" s="304">
        <f t="shared" si="31"/>
        <v>4362.4289759459725</v>
      </c>
      <c r="V62" s="304">
        <f t="shared" si="32"/>
        <v>6016.0607067791061</v>
      </c>
      <c r="W62" s="304">
        <f t="shared" si="33"/>
        <v>5428.798467944378</v>
      </c>
      <c r="X62" s="305">
        <f t="shared" si="34"/>
        <v>-62227.662641320334</v>
      </c>
      <c r="Y62" s="888" cm="1">
        <f t="array" aca="1" ref="Y62" ca="1">IF(AND(Y$22=TRUE,INDEX(CDRANGE_CLS3,MATCH($A62,$A$24:$A$67,0),MATCH(Y$20,$B$20:$G$20,0))&lt;$D$6/OPDAYS_Cls3),86,payback(C62,T62,disc_rate/12,85))</f>
        <v>1</v>
      </c>
      <c r="Z62" s="889" cm="1">
        <f t="array" aca="1" ref="Z62" ca="1">IF(AND(Z$22=TRUE,INDEX(CDRANGE_CLS3,MATCH($A62,$A$24:$A$67,0),MATCH(Z$20,$B$20:$G$20,0))&lt;$D$6/OPDAYS_Cls3),86,payback(D62,U62,disc_rate/12,85))</f>
        <v>1</v>
      </c>
      <c r="AA62" s="889" cm="1">
        <f t="array" ref="AA62">IF(AND(AA$22=TRUE,INDEX(CDRANGE_CLS3,MATCH($A62,$A$24:$A$67,0),MATCH(AA$20,$B$20:$G$20,0))&lt;$D$6/OPDAYS_Cls3),86,payback(E62,V62,disc_rate/12,85))</f>
        <v>86</v>
      </c>
      <c r="AB62" s="889" cm="1">
        <f t="array" aca="1" ref="AB62" ca="1">IF(AND(AB$22=TRUE,INDEX(CDRANGE_CLS3,MATCH($A62,$A$24:$A$67,0),MATCH(AB$20,$B$20:$G$20,0))&lt;$D$6/OPDAYS_Cls3),86,payback(F62,W62,disc_rate/12,85))</f>
        <v>5</v>
      </c>
      <c r="AC62" s="890" cm="1">
        <f t="array" aca="1" ref="AC62" ca="1">IF(AND(AC$22=TRUE,INDEX(CDRANGE_CLS3,MATCH($A62,$A$24:$A$67,0),MATCH(AC$20,$B$20:$G$20,0))&lt;$D$6/OPDAYS_Cls3),86,payback(G62,X62,disc_rate/12,85))</f>
        <v>86</v>
      </c>
      <c r="AD62" s="310">
        <f t="shared" si="35"/>
        <v>0</v>
      </c>
      <c r="AE62" s="311">
        <f t="shared" si="36"/>
        <v>0</v>
      </c>
      <c r="AF62" s="311">
        <f t="shared" si="37"/>
        <v>0</v>
      </c>
      <c r="AG62" s="311">
        <f t="shared" si="38"/>
        <v>0</v>
      </c>
      <c r="AH62" s="312">
        <f t="shared" si="39"/>
        <v>0</v>
      </c>
      <c r="AI62" s="596" cm="1">
        <f t="array" ref="AI62">IF($A62&lt;AI$23,0,AI$21+VLOOKUP($A62-AI$23,SCdata,2,1)*(AI$22-AI$21))*IF($D$5="Non-Central",INDEX(fuel_avail,$A62-$A$24+1,MATCH(O$21,Fuels,0)),1)</f>
        <v>0.49999994373241896</v>
      </c>
      <c r="AJ62" s="314" cm="1">
        <f t="array" ref="AJ62">IF($A62&lt;AJ$23,0,AJ$21+VLOOKUP($A62-AJ$23,SCdata,2,1)*(AJ$22-AJ$21))*IF($D$5="Non-Central",INDEX(fuel_avail,$A62-$A$24+1,MATCH(P$21,Fuels,0)),1)</f>
        <v>0.49999994373241896</v>
      </c>
      <c r="AK62" s="314" cm="1">
        <f t="array" ref="AK62">IF($A62&lt;AK$23,0,AK$21+VLOOKUP($A62-AK$23,SCdata,2,1)*(AK$22-AK$21))*IF($D$5="Non-Central",INDEX(fuel_avail,$A62-$A$24+1,MATCH(Q$21,Fuels,0)),1)</f>
        <v>0.49999994373241896</v>
      </c>
      <c r="AL62" s="314" cm="1">
        <f t="array" ref="AL62">IF($A62&lt;AL$23,0,AL$21+VLOOKUP($A62-AL$23,SCdata,2,1)*(AL$22-AL$21))*IF($D$5="Non-Central",INDEX(fuel_avail,$A62-$A$24+1,MATCH(R$21,Fuels,0)),1)</f>
        <v>0.49999994373241896</v>
      </c>
      <c r="AM62" s="599" cm="1">
        <f t="array" ref="AM62">IF($A62&lt;AM$23,0,AM$21+VLOOKUP($A62-AM$23,SCdata,2,1)*(AM$22-AM$21))*IF($D$5="Non-Central",INDEX(fuel_avail,$A62-$A$24+1,MATCH(S$21,Fuels,0)),1)</f>
        <v>0</v>
      </c>
      <c r="AN62" s="313">
        <f t="shared" si="52"/>
        <v>0.99952687680899233</v>
      </c>
      <c r="AO62" s="314">
        <f t="shared" si="52"/>
        <v>0.9990718564405473</v>
      </c>
      <c r="AP62" s="314">
        <f t="shared" si="52"/>
        <v>0.55522475122987092</v>
      </c>
      <c r="AQ62" s="314">
        <f t="shared" si="52"/>
        <v>0.7659396456529397</v>
      </c>
      <c r="AR62" s="599">
        <f t="shared" si="52"/>
        <v>0</v>
      </c>
      <c r="AS62" s="310">
        <f t="shared" ca="1" si="41"/>
        <v>0.99999988746483792</v>
      </c>
      <c r="AT62" s="311">
        <f t="shared" ca="1" si="42"/>
        <v>0.99999988746483792</v>
      </c>
      <c r="AU62" s="311">
        <f t="shared" si="43"/>
        <v>0</v>
      </c>
      <c r="AV62" s="311">
        <f t="shared" ca="1" si="44"/>
        <v>0.99999988746483792</v>
      </c>
      <c r="AW62" s="312">
        <f t="shared" ca="1" si="45"/>
        <v>0</v>
      </c>
      <c r="AX62" s="310">
        <f t="shared" ca="1" si="46"/>
        <v>0.99952676432707321</v>
      </c>
      <c r="AY62" s="311">
        <f t="shared" ca="1" si="46"/>
        <v>0.99907174400983401</v>
      </c>
      <c r="AZ62" s="311">
        <f t="shared" si="46"/>
        <v>0</v>
      </c>
      <c r="BA62" s="311">
        <f t="shared" ca="1" si="46"/>
        <v>0.76593955945779757</v>
      </c>
      <c r="BB62" s="312">
        <f t="shared" ca="1" si="46"/>
        <v>0</v>
      </c>
      <c r="BC62" s="310">
        <f t="shared" ca="1" si="53"/>
        <v>4.7323567292678614E-4</v>
      </c>
      <c r="BD62" s="311">
        <f t="shared" ca="1" si="47"/>
        <v>0.36138180343564669</v>
      </c>
      <c r="BE62" s="311">
        <f t="shared" ca="1" si="48"/>
        <v>0.36121728951894888</v>
      </c>
      <c r="BF62" s="311">
        <f t="shared" ca="1" si="49"/>
        <v>0</v>
      </c>
      <c r="BG62" s="311">
        <f t="shared" ca="1" si="50"/>
        <v>0.27692767137247765</v>
      </c>
      <c r="BH62" s="312">
        <f t="shared" ca="1" si="51"/>
        <v>0</v>
      </c>
    </row>
    <row r="63" spans="1:60" x14ac:dyDescent="0.2">
      <c r="A63" s="316">
        <v>2046</v>
      </c>
      <c r="B63" s="826" cm="1">
        <f t="array" ref="B63">ROUND(INDEX(COST_Cls3,$A63-($A$24-1),MATCH(B$20,TECHOPTS_Cls3,0)),2)</f>
        <v>84522.42</v>
      </c>
      <c r="C63" s="827" cm="1">
        <f t="array" ref="C63">ROUND(INDEX(COST_Cls3,$A63-($A$24-1),MATCH(C$20,TECHOPTS_Cls3,0)),2)</f>
        <v>966.06</v>
      </c>
      <c r="D63" s="827" cm="1">
        <f t="array" ref="D63">ROUND(INDEX(COST_Cls3,$A63-($A$24-1),MATCH(D$20,TECHOPTS_Cls3,0)),2)</f>
        <v>945.73</v>
      </c>
      <c r="E63" s="827" cm="1">
        <f t="array" ref="E63">ROUND(INDEX(COST_Cls3,$A63-($A$24-1),MATCH(E$20,TECHOPTS_Cls3,0)),2)</f>
        <v>30800.99</v>
      </c>
      <c r="F63" s="827" cm="1">
        <f t="array" ref="F63">ROUND(INDEX(COST_Cls3,$A63-($A$24-1),MATCH(F$20,TECHOPTS_Cls3,0)),2)</f>
        <v>22525.81</v>
      </c>
      <c r="G63" s="828" cm="1">
        <f t="array" ref="G63">ROUND(INDEX(COST_Cls3,$A63-($A$24-1),MATCH(G$20,TECHOPTS_Cls3,0)),2)</f>
        <v>1000000</v>
      </c>
      <c r="H63" s="781" cm="1">
        <f t="array" ref="H63">IF(H$21="Single-fuel",1,1-MIN(INDEX(CDRANGE_CLS3,$A63-($A$24-1),MATCH(H$20,TECHOPTS_Cls3,0))*OPDAYS_Cls3/$D$6,1))</f>
        <v>1</v>
      </c>
      <c r="I63" s="782" cm="1">
        <f t="array" ref="I63">IF(I$21="Single-fuel",1,1-MIN(INDEX(CDRANGE_CLS3,$A63-($A$24-1),MATCH(I$20,TECHOPTS_Cls3,0))*OPDAYS_Cls3/$D$6,1))</f>
        <v>1</v>
      </c>
      <c r="J63" s="782" cm="1">
        <f t="array" ref="J63">IF(J$21="Single-fuel",1,1-MIN(INDEX(CDRANGE_CLS3,$A63-($A$24-1),MATCH(J$20,TECHOPTS_Cls3,0))*OPDAYS_Cls3/$D$6,1))</f>
        <v>1</v>
      </c>
      <c r="K63" s="782" cm="1">
        <f t="array" ref="K63">IF(K$21="Single-fuel",1,1-MIN(INDEX(CDRANGE_CLS3,$A63-($A$24-1),MATCH(K$20,TECHOPTS_Cls3,0))*OPDAYS_Cls3/$D$6,1))</f>
        <v>1</v>
      </c>
      <c r="L63" s="782" cm="1">
        <f t="array" ref="L63">IF(L$21="Single-fuel",1,1-MIN(INDEX(CDRANGE_CLS3,$A63-($A$24-1),MATCH(L$20,TECHOPTS_Cls3,0))*OPDAYS_Cls3/$D$6,1))</f>
        <v>1</v>
      </c>
      <c r="M63" s="783" cm="1">
        <f t="array" ref="M63">IF(M$21="Single-fuel",1,1-MIN(INDEX(CDRANGE_CLS3,$A63-($A$24-1),MATCH(M$20,TECHOPTS_Cls3,0))*OPDAYS_Cls3/$D$6,1))</f>
        <v>1</v>
      </c>
      <c r="N63" s="736" cm="1">
        <f t="array" ref="N63">VLOOKUP($A63,IF($D$5="Central",FuelPriceCent,FuelPriceNCent),MATCH(N$21,FuelPriceCols,0),0)*(H63*$D$6)/(12*INDEX(FUEL1MPG_Cls3,$A63-($A$24-1),MATCH(N$20,TECHOPTS_Cls3,0)))+IFERROR(VLOOKUP($A63,IF($D$5="Central",FuelPriceCent,FuelPriceNCent),MATCH(INDEX($G$11:$G$16,MATCH(N$20,$B$11:$B$16,0)),FuelPriceCols,0),0),0)*((1-H63)*$D$6)/(12*INDEX(FUEL2MPG_Cls3,$A63-($A$24-1),MATCH(N$20,TECHOPTS_Cls3,0)))</f>
        <v>9026.6573431313354</v>
      </c>
      <c r="O63" s="632" cm="1">
        <f t="array" ref="O63">VLOOKUP($A63,IF($D$5="Central",FuelPriceCent,FuelPriceNCent),MATCH(O$21,FuelPriceCols,0),0)*(I63*$D$6)/(12*INDEX(FUEL1MPG_Cls3,$A63-($A$24-1),MATCH(O$20,TECHOPTS_Cls3,0)))+IFERROR(VLOOKUP($A63,IF($D$5="Central",FuelPriceCent,FuelPriceNCent),MATCH(INDEX($G$11:$G$16,MATCH(O$20,$B$11:$B$16,0)),FuelPriceCols,0),0),0)*((1-I63)*$D$6)/(12*INDEX(FUEL2MPG_Cls3,$A63-($A$24-1),MATCH(O$20,TECHOPTS_Cls3,0)))</f>
        <v>7672.4934576349324</v>
      </c>
      <c r="P63" s="632" cm="1">
        <f t="array" ref="P63">VLOOKUP($A63,IF($D$5="Central",FuelPriceCent,FuelPriceNCent),MATCH(P$21,FuelPriceCols,0),0)*(J63*$D$6)/(12*INDEX(FUEL1MPG_Cls3,$A63-($A$24-1),MATCH(P$20,TECHOPTS_Cls3,0)))+IFERROR(VLOOKUP($A63,IF($D$5="Central",FuelPriceCent,FuelPriceNCent),MATCH(INDEX($G$11:$G$16,MATCH(P$20,$B$11:$B$16,0)),FuelPriceCols,0),0),0)*((1-J63)*$D$6)/(12*INDEX(FUEL2MPG_Cls3,$A63-($A$24-1),MATCH(P$20,TECHOPTS_Cls3,0)))</f>
        <v>4541.797247553568</v>
      </c>
      <c r="Q63" s="632" cm="1">
        <f t="array" ref="Q63">VLOOKUP($A63,IF($D$5="Central",FuelPriceCent,FuelPriceNCent),MATCH(Q$21,FuelPriceCols,0),0)*(K63*$D$6)/(12*INDEX(FUEL1MPG_Cls3,$A63-($A$24-1),MATCH(Q$20,TECHOPTS_Cls3,0)))+IFERROR(VLOOKUP($A63,IF($D$5="Central",FuelPriceCent,FuelPriceNCent),MATCH(INDEX($G$11:$G$16,MATCH(Q$20,$B$11:$B$16,0)),FuelPriceCols,0),0),0)*((1-K63)*$D$6)/(12*INDEX(FUEL2MPG_Cls3,$A63-($A$24-1),MATCH(Q$20,TECHOPTS_Cls3,0)))</f>
        <v>2655.2797798439383</v>
      </c>
      <c r="R63" s="632" cm="1">
        <f t="array" ref="R63">VLOOKUP($A63,IF($D$5="Central",FuelPriceCent,FuelPriceNCent),MATCH(R$21,FuelPriceCols,0),0)*(L63*$D$6)/(12*INDEX(FUEL1MPG_Cls3,$A63-($A$24-1),MATCH(R$20,TECHOPTS_Cls3,0)))+IFERROR(VLOOKUP($A63,IF($D$5="Central",FuelPriceCent,FuelPriceNCent),MATCH(INDEX($G$11:$G$16,MATCH(R$20,$B$11:$B$16,0)),FuelPriceCols,0),0),0)*((1-L63)*$D$6)/(12*INDEX(FUEL2MPG_Cls3,$A63-($A$24-1),MATCH(R$20,TECHOPTS_Cls3,0)))</f>
        <v>3397.6428677398121</v>
      </c>
      <c r="S63" s="745" cm="1">
        <f t="array" ref="S63">VLOOKUP($A63,IF($D$5="Central",FuelPriceCent,FuelPriceNCent),MATCH(S$21,FuelPriceCols,0),0)*(M63*$D$6)/(12*INDEX(FUEL1MPG_Cls3,$A63-($A$24-1),MATCH(S$20,TECHOPTS_Cls3,0)))+IFERROR(VLOOKUP($A63,IF($D$5="Central",FuelPriceCent,FuelPriceNCent),MATCH(INDEX($G$11:$G$16,MATCH(S$20,$B$11:$B$16,0)),FuelPriceCols,0),0),0)*((1-M63)*$D$6)/(12*INDEX(FUEL2MPG_Cls3,$A63-($A$24-1),MATCH(S$20,TECHOPTS_Cls3,0)))</f>
        <v>71295.580441875005</v>
      </c>
      <c r="T63" s="733">
        <f t="shared" si="30"/>
        <v>1354.1638854964031</v>
      </c>
      <c r="U63" s="276">
        <f t="shared" si="31"/>
        <v>4484.8600955777674</v>
      </c>
      <c r="V63" s="276">
        <f t="shared" si="32"/>
        <v>6371.3775632873967</v>
      </c>
      <c r="W63" s="276">
        <f t="shared" si="33"/>
        <v>5629.0144753915229</v>
      </c>
      <c r="X63" s="277">
        <f t="shared" si="34"/>
        <v>-62268.923098743668</v>
      </c>
      <c r="Y63" s="279" cm="1">
        <f t="array" aca="1" ref="Y63" ca="1">IF(AND(Y$22=TRUE,INDEX(CDRANGE_CLS3,MATCH($A63,$A$24:$A$67,0),MATCH(Y$20,$B$20:$G$20,0))&lt;$D$6/OPDAYS_Cls3),86,payback(C63,T63,disc_rate/12,85))</f>
        <v>1</v>
      </c>
      <c r="Z63" s="280" cm="1">
        <f t="array" aca="1" ref="Z63" ca="1">IF(AND(Z$22=TRUE,INDEX(CDRANGE_CLS3,MATCH($A63,$A$24:$A$67,0),MATCH(Z$20,$B$20:$G$20,0))&lt;$D$6/OPDAYS_Cls3),86,payback(D63,U63,disc_rate/12,85))</f>
        <v>1</v>
      </c>
      <c r="AA63" s="280" cm="1">
        <f t="array" ref="AA63">IF(AND(AA$22=TRUE,INDEX(CDRANGE_CLS3,MATCH($A63,$A$24:$A$67,0),MATCH(AA$20,$B$20:$G$20,0))&lt;$D$6/OPDAYS_Cls3),86,payback(E63,V63,disc_rate/12,85))</f>
        <v>86</v>
      </c>
      <c r="AB63" s="280" cm="1">
        <f t="array" aca="1" ref="AB63" ca="1">IF(AND(AB$22=TRUE,INDEX(CDRANGE_CLS3,MATCH($A63,$A$24:$A$67,0),MATCH(AB$20,$B$20:$G$20,0))&lt;$D$6/OPDAYS_Cls3),86,payback(F63,W63,disc_rate/12,85))</f>
        <v>5</v>
      </c>
      <c r="AC63" s="281" cm="1">
        <f t="array" aca="1" ref="AC63" ca="1">IF(AND(AC$22=TRUE,INDEX(CDRANGE_CLS3,MATCH($A63,$A$24:$A$67,0),MATCH(AC$20,$B$20:$G$20,0))&lt;$D$6/OPDAYS_Cls3),86,payback(G63,X63,disc_rate/12,85))</f>
        <v>86</v>
      </c>
      <c r="AD63" s="282">
        <f t="shared" si="35"/>
        <v>0</v>
      </c>
      <c r="AE63" s="283">
        <f t="shared" si="36"/>
        <v>0</v>
      </c>
      <c r="AF63" s="283">
        <f t="shared" si="37"/>
        <v>0</v>
      </c>
      <c r="AG63" s="283">
        <f t="shared" si="38"/>
        <v>0</v>
      </c>
      <c r="AH63" s="284">
        <f t="shared" si="39"/>
        <v>0</v>
      </c>
      <c r="AI63" s="594" cm="1">
        <f t="array" ref="AI63">IF($A63&lt;AI$23,0,AI$21+VLOOKUP($A63-AI$23,SCdata,2,1)*(AI$22-AI$21))*IF($D$5="Non-Central",INDEX(fuel_avail,$A63-$A$24+1,MATCH(O$21,Fuels,0)),1)</f>
        <v>0.4999999793003122</v>
      </c>
      <c r="AJ63" s="286" cm="1">
        <f t="array" ref="AJ63">IF($A63&lt;AJ$23,0,AJ$21+VLOOKUP($A63-AJ$23,SCdata,2,1)*(AJ$22-AJ$21))*IF($D$5="Non-Central",INDEX(fuel_avail,$A63-$A$24+1,MATCH(P$21,Fuels,0)),1)</f>
        <v>0.4999999793003122</v>
      </c>
      <c r="AK63" s="286" cm="1">
        <f t="array" ref="AK63">IF($A63&lt;AK$23,0,AK$21+VLOOKUP($A63-AK$23,SCdata,2,1)*(AK$22-AK$21))*IF($D$5="Non-Central",INDEX(fuel_avail,$A63-$A$24+1,MATCH(Q$21,Fuels,0)),1)</f>
        <v>0.4999999793003122</v>
      </c>
      <c r="AL63" s="286" cm="1">
        <f t="array" ref="AL63">IF($A63&lt;AL$23,0,AL$21+VLOOKUP($A63-AL$23,SCdata,2,1)*(AL$22-AL$21))*IF($D$5="Non-Central",INDEX(fuel_avail,$A63-$A$24+1,MATCH(R$21,Fuels,0)),1)</f>
        <v>0.4999999793003122</v>
      </c>
      <c r="AM63" s="611" cm="1">
        <f t="array" ref="AM63">IF($A63&lt;AM$23,0,AM$21+VLOOKUP($A63-AM$23,SCdata,2,1)*(AM$22-AM$21))*IF($D$5="Non-Central",INDEX(fuel_avail,$A63-$A$24+1,MATCH(S$21,Fuels,0)),1)</f>
        <v>0</v>
      </c>
      <c r="AN63" s="285">
        <f t="shared" si="52"/>
        <v>0.99963718681770863</v>
      </c>
      <c r="AO63" s="286">
        <f t="shared" si="52"/>
        <v>0.99965229377156406</v>
      </c>
      <c r="AP63" s="286">
        <f t="shared" si="52"/>
        <v>0.69150962260439219</v>
      </c>
      <c r="AQ63" s="286">
        <f t="shared" si="52"/>
        <v>0.820949011827939</v>
      </c>
      <c r="AR63" s="611">
        <f t="shared" si="52"/>
        <v>0</v>
      </c>
      <c r="AS63" s="282">
        <f t="shared" ca="1" si="41"/>
        <v>0.99999995860062441</v>
      </c>
      <c r="AT63" s="283">
        <f t="shared" ca="1" si="42"/>
        <v>0.99999995860062441</v>
      </c>
      <c r="AU63" s="283">
        <f t="shared" si="43"/>
        <v>0</v>
      </c>
      <c r="AV63" s="283">
        <f t="shared" ca="1" si="44"/>
        <v>0.99999995860062441</v>
      </c>
      <c r="AW63" s="284">
        <f t="shared" ca="1" si="45"/>
        <v>0</v>
      </c>
      <c r="AX63" s="282">
        <f t="shared" ca="1" si="46"/>
        <v>0.99963714543335325</v>
      </c>
      <c r="AY63" s="283">
        <f t="shared" ca="1" si="46"/>
        <v>0.99965225238658328</v>
      </c>
      <c r="AZ63" s="283">
        <f t="shared" si="46"/>
        <v>0</v>
      </c>
      <c r="BA63" s="283">
        <f t="shared" ca="1" si="46"/>
        <v>0.8209489778411625</v>
      </c>
      <c r="BB63" s="284">
        <f t="shared" ca="1" si="46"/>
        <v>0</v>
      </c>
      <c r="BC63" s="282">
        <f t="shared" ca="1" si="53"/>
        <v>3.477476134168267E-4</v>
      </c>
      <c r="BD63" s="283">
        <f t="shared" ca="1" si="47"/>
        <v>0.35432803575247435</v>
      </c>
      <c r="BE63" s="283">
        <f t="shared" ca="1" si="48"/>
        <v>0.35433339051253765</v>
      </c>
      <c r="BF63" s="283">
        <f t="shared" ca="1" si="49"/>
        <v>0</v>
      </c>
      <c r="BG63" s="283">
        <f t="shared" ca="1" si="50"/>
        <v>0.29099082612157123</v>
      </c>
      <c r="BH63" s="284">
        <f t="shared" ca="1" si="51"/>
        <v>0</v>
      </c>
    </row>
    <row r="64" spans="1:60" x14ac:dyDescent="0.2">
      <c r="A64" s="317">
        <v>2047</v>
      </c>
      <c r="B64" s="820" cm="1">
        <f t="array" ref="B64">ROUND(INDEX(COST_Cls3,$A64-($A$24-1),MATCH(B$20,TECHOPTS_Cls3,0)),2)</f>
        <v>84572.04</v>
      </c>
      <c r="C64" s="821" cm="1">
        <f t="array" ref="C64">ROUND(INDEX(COST_Cls3,$A64-($A$24-1),MATCH(C$20,TECHOPTS_Cls3,0)),2)</f>
        <v>864.2</v>
      </c>
      <c r="D64" s="821" cm="1">
        <f t="array" ref="D64">ROUND(INDEX(COST_Cls3,$A64-($A$24-1),MATCH(D$20,TECHOPTS_Cls3,0)),2)</f>
        <v>499.42</v>
      </c>
      <c r="E64" s="821" cm="1">
        <f t="array" ref="E64">ROUND(INDEX(COST_Cls3,$A64-($A$24-1),MATCH(E$20,TECHOPTS_Cls3,0)),2)</f>
        <v>24778.46</v>
      </c>
      <c r="F64" s="821" cm="1">
        <f t="array" ref="F64">ROUND(INDEX(COST_Cls3,$A64-($A$24-1),MATCH(F$20,TECHOPTS_Cls3,0)),2)</f>
        <v>19805.7</v>
      </c>
      <c r="G64" s="822" cm="1">
        <f t="array" ref="G64">ROUND(INDEX(COST_Cls3,$A64-($A$24-1),MATCH(G$20,TECHOPTS_Cls3,0)),2)</f>
        <v>1000000</v>
      </c>
      <c r="H64" s="781" cm="1">
        <f t="array" ref="H64">IF(H$21="Single-fuel",1,1-MIN(INDEX(CDRANGE_CLS3,$A64-($A$24-1),MATCH(H$20,TECHOPTS_Cls3,0))*OPDAYS_Cls3/$D$6,1))</f>
        <v>1</v>
      </c>
      <c r="I64" s="782" cm="1">
        <f t="array" ref="I64">IF(I$21="Single-fuel",1,1-MIN(INDEX(CDRANGE_CLS3,$A64-($A$24-1),MATCH(I$20,TECHOPTS_Cls3,0))*OPDAYS_Cls3/$D$6,1))</f>
        <v>1</v>
      </c>
      <c r="J64" s="782" cm="1">
        <f t="array" ref="J64">IF(J$21="Single-fuel",1,1-MIN(INDEX(CDRANGE_CLS3,$A64-($A$24-1),MATCH(J$20,TECHOPTS_Cls3,0))*OPDAYS_Cls3/$D$6,1))</f>
        <v>1</v>
      </c>
      <c r="K64" s="782" cm="1">
        <f t="array" ref="K64">IF(K$21="Single-fuel",1,1-MIN(INDEX(CDRANGE_CLS3,$A64-($A$24-1),MATCH(K$20,TECHOPTS_Cls3,0))*OPDAYS_Cls3/$D$6,1))</f>
        <v>1</v>
      </c>
      <c r="L64" s="782" cm="1">
        <f t="array" ref="L64">IF(L$21="Single-fuel",1,1-MIN(INDEX(CDRANGE_CLS3,$A64-($A$24-1),MATCH(L$20,TECHOPTS_Cls3,0))*OPDAYS_Cls3/$D$6,1))</f>
        <v>1</v>
      </c>
      <c r="M64" s="783" cm="1">
        <f t="array" ref="M64">IF(M$21="Single-fuel",1,1-MIN(INDEX(CDRANGE_CLS3,$A64-($A$24-1),MATCH(M$20,TECHOPTS_Cls3,0))*OPDAYS_Cls3/$D$6,1))</f>
        <v>1</v>
      </c>
      <c r="N64" s="733" cm="1">
        <f t="array" ref="N64">VLOOKUP($A64,IF($D$5="Central",FuelPriceCent,FuelPriceNCent),MATCH(N$21,FuelPriceCols,0),0)*(H64*$D$6)/(12*INDEX(FUEL1MPG_Cls3,$A64-($A$24-1),MATCH(N$20,TECHOPTS_Cls3,0)))+IFERROR(VLOOKUP($A64,IF($D$5="Central",FuelPriceCent,FuelPriceNCent),MATCH(INDEX($G$11:$G$16,MATCH(N$20,$B$11:$B$16,0)),FuelPriceCols,0),0),0)*((1-H64)*$D$6)/(12*INDEX(FUEL2MPG_Cls3,$A64-($A$24-1),MATCH(N$20,TECHOPTS_Cls3,0)))</f>
        <v>9105.2072176975125</v>
      </c>
      <c r="O64" s="276" cm="1">
        <f t="array" ref="O64">VLOOKUP($A64,IF($D$5="Central",FuelPriceCent,FuelPriceNCent),MATCH(O$21,FuelPriceCols,0),0)*(I64*$D$6)/(12*INDEX(FUEL1MPG_Cls3,$A64-($A$24-1),MATCH(O$20,TECHOPTS_Cls3,0)))+IFERROR(VLOOKUP($A64,IF($D$5="Central",FuelPriceCent,FuelPriceNCent),MATCH(INDEX($G$11:$G$16,MATCH(O$20,$B$11:$B$16,0)),FuelPriceCols,0),0),0)*((1-I64)*$D$6)/(12*INDEX(FUEL2MPG_Cls3,$A64-($A$24-1),MATCH(O$20,TECHOPTS_Cls3,0)))</f>
        <v>7649.2337874490859</v>
      </c>
      <c r="P64" s="276" cm="1">
        <f t="array" ref="P64">VLOOKUP($A64,IF($D$5="Central",FuelPriceCent,FuelPriceNCent),MATCH(P$21,FuelPriceCols,0),0)*(J64*$D$6)/(12*INDEX(FUEL1MPG_Cls3,$A64-($A$24-1),MATCH(P$20,TECHOPTS_Cls3,0)))+IFERROR(VLOOKUP($A64,IF($D$5="Central",FuelPriceCent,FuelPriceNCent),MATCH(INDEX($G$11:$G$16,MATCH(P$20,$B$11:$B$16,0)),FuelPriceCols,0),0),0)*((1-J64)*$D$6)/(12*INDEX(FUEL2MPG_Cls3,$A64-($A$24-1),MATCH(P$20,TECHOPTS_Cls3,0)))</f>
        <v>4495.2292361778773</v>
      </c>
      <c r="Q64" s="276" cm="1">
        <f t="array" ref="Q64">VLOOKUP($A64,IF($D$5="Central",FuelPriceCent,FuelPriceNCent),MATCH(Q$21,FuelPriceCols,0),0)*(K64*$D$6)/(12*INDEX(FUEL1MPG_Cls3,$A64-($A$24-1),MATCH(Q$20,TECHOPTS_Cls3,0)))+IFERROR(VLOOKUP($A64,IF($D$5="Central",FuelPriceCent,FuelPriceNCent),MATCH(INDEX($G$11:$G$16,MATCH(Q$20,$B$11:$B$16,0)),FuelPriceCols,0),0),0)*((1-K64)*$D$6)/(12*INDEX(FUEL2MPG_Cls3,$A64-($A$24-1),MATCH(Q$20,TECHOPTS_Cls3,0)))</f>
        <v>2442.6039661565055</v>
      </c>
      <c r="R64" s="276" cm="1">
        <f t="array" ref="R64">VLOOKUP($A64,IF($D$5="Central",FuelPriceCent,FuelPriceNCent),MATCH(R$21,FuelPriceCols,0),0)*(L64*$D$6)/(12*INDEX(FUEL1MPG_Cls3,$A64-($A$24-1),MATCH(R$20,TECHOPTS_Cls3,0)))+IFERROR(VLOOKUP($A64,IF($D$5="Central",FuelPriceCent,FuelPriceNCent),MATCH(INDEX($G$11:$G$16,MATCH(R$20,$B$11:$B$16,0)),FuelPriceCols,0),0),0)*((1-L64)*$D$6)/(12*INDEX(FUEL2MPG_Cls3,$A64-($A$24-1),MATCH(R$20,TECHOPTS_Cls3,0)))</f>
        <v>3234.3157970682541</v>
      </c>
      <c r="S64" s="278" cm="1">
        <f t="array" ref="S64">VLOOKUP($A64,IF($D$5="Central",FuelPriceCent,FuelPriceNCent),MATCH(S$21,FuelPriceCols,0),0)*(M64*$D$6)/(12*INDEX(FUEL1MPG_Cls3,$A64-($A$24-1),MATCH(S$20,TECHOPTS_Cls3,0)))+IFERROR(VLOOKUP($A64,IF($D$5="Central",FuelPriceCent,FuelPriceNCent),MATCH(INDEX($G$11:$G$16,MATCH(S$20,$B$11:$B$16,0)),FuelPriceCols,0),0),0)*((1-M64)*$D$6)/(12*INDEX(FUEL2MPG_Cls3,$A64-($A$24-1),MATCH(S$20,TECHOPTS_Cls3,0)))</f>
        <v>71961.213011250002</v>
      </c>
      <c r="T64" s="734">
        <f t="shared" si="30"/>
        <v>1455.9734302484267</v>
      </c>
      <c r="U64" s="290">
        <f t="shared" si="31"/>
        <v>4609.9779815196353</v>
      </c>
      <c r="V64" s="290">
        <f t="shared" si="32"/>
        <v>6662.603251541007</v>
      </c>
      <c r="W64" s="290">
        <f t="shared" si="33"/>
        <v>5870.8914206292584</v>
      </c>
      <c r="X64" s="291">
        <f t="shared" si="34"/>
        <v>-62856.005793552489</v>
      </c>
      <c r="Y64" s="279" cm="1">
        <f t="array" aca="1" ref="Y64" ca="1">IF(AND(Y$22=TRUE,INDEX(CDRANGE_CLS3,MATCH($A64,$A$24:$A$67,0),MATCH(Y$20,$B$20:$G$20,0))&lt;$D$6/OPDAYS_Cls3),86,payback(C64,T64,disc_rate/12,85))</f>
        <v>1</v>
      </c>
      <c r="Z64" s="280" cm="1">
        <f t="array" aca="1" ref="Z64" ca="1">IF(AND(Z$22=TRUE,INDEX(CDRANGE_CLS3,MATCH($A64,$A$24:$A$67,0),MATCH(Z$20,$B$20:$G$20,0))&lt;$D$6/OPDAYS_Cls3),86,payback(D64,U64,disc_rate/12,85))</f>
        <v>1</v>
      </c>
      <c r="AA64" s="280" cm="1">
        <f t="array" ref="AA64">IF(AND(AA$22=TRUE,INDEX(CDRANGE_CLS3,MATCH($A64,$A$24:$A$67,0),MATCH(AA$20,$B$20:$G$20,0))&lt;$D$6/OPDAYS_Cls3),86,payback(E64,V64,disc_rate/12,85))</f>
        <v>86</v>
      </c>
      <c r="AB64" s="280" cm="1">
        <f t="array" aca="1" ref="AB64" ca="1">IF(AND(AB$22=TRUE,INDEX(CDRANGE_CLS3,MATCH($A64,$A$24:$A$67,0),MATCH(AB$20,$B$20:$G$20,0))&lt;$D$6/OPDAYS_Cls3),86,payback(F64,W64,disc_rate/12,85))</f>
        <v>4</v>
      </c>
      <c r="AC64" s="281" cm="1">
        <f t="array" aca="1" ref="AC64" ca="1">IF(AND(AC$22=TRUE,INDEX(CDRANGE_CLS3,MATCH($A64,$A$24:$A$67,0),MATCH(AC$20,$B$20:$G$20,0))&lt;$D$6/OPDAYS_Cls3),86,payback(G64,X64,disc_rate/12,85))</f>
        <v>86</v>
      </c>
      <c r="AD64" s="296">
        <f t="shared" si="35"/>
        <v>0</v>
      </c>
      <c r="AE64" s="297">
        <f t="shared" si="36"/>
        <v>0</v>
      </c>
      <c r="AF64" s="297">
        <f t="shared" si="37"/>
        <v>0</v>
      </c>
      <c r="AG64" s="297">
        <f t="shared" si="38"/>
        <v>0</v>
      </c>
      <c r="AH64" s="298">
        <f t="shared" si="39"/>
        <v>0</v>
      </c>
      <c r="AI64" s="595" cm="1">
        <f t="array" ref="AI64">IF($A64&lt;AI$23,0,AI$21+VLOOKUP($A64-AI$23,SCdata,2,1)*(AI$22-AI$21))*IF($D$5="Non-Central",INDEX(fuel_avail,$A64-$A$24+1,MATCH(O$21,Fuels,0)),1)</f>
        <v>0.49999999238501025</v>
      </c>
      <c r="AJ64" s="300" cm="1">
        <f t="array" ref="AJ64">IF($A64&lt;AJ$23,0,AJ$21+VLOOKUP($A64-AJ$23,SCdata,2,1)*(AJ$22-AJ$21))*IF($D$5="Non-Central",INDEX(fuel_avail,$A64-$A$24+1,MATCH(P$21,Fuels,0)),1)</f>
        <v>0.49999999238501025</v>
      </c>
      <c r="AK64" s="300" cm="1">
        <f t="array" ref="AK64">IF($A64&lt;AK$23,0,AK$21+VLOOKUP($A64-AK$23,SCdata,2,1)*(AK$22-AK$21))*IF($D$5="Non-Central",INDEX(fuel_avail,$A64-$A$24+1,MATCH(Q$21,Fuels,0)),1)</f>
        <v>0.49999999238501025</v>
      </c>
      <c r="AL64" s="300" cm="1">
        <f t="array" ref="AL64">IF($A64&lt;AL$23,0,AL$21+VLOOKUP($A64-AL$23,SCdata,2,1)*(AL$22-AL$21))*IF($D$5="Non-Central",INDEX(fuel_avail,$A64-$A$24+1,MATCH(R$21,Fuels,0)),1)</f>
        <v>0.49999999238501025</v>
      </c>
      <c r="AM64" s="598" cm="1">
        <f t="array" ref="AM64">IF($A64&lt;AM$23,0,AM$21+VLOOKUP($A64-AM$23,SCdata,2,1)*(AM$22-AM$21))*IF($D$5="Non-Central",INDEX(fuel_avail,$A64-$A$24+1,MATCH(S$21,Fuels,0)),1)</f>
        <v>0</v>
      </c>
      <c r="AN64" s="299">
        <f t="shared" si="52"/>
        <v>0.99970999236734859</v>
      </c>
      <c r="AO64" s="300">
        <f t="shared" si="52"/>
        <v>0.99990313771440653</v>
      </c>
      <c r="AP64" s="300">
        <f t="shared" si="52"/>
        <v>0.78785016391423168</v>
      </c>
      <c r="AQ64" s="300">
        <f t="shared" si="52"/>
        <v>0.85869316350473512</v>
      </c>
      <c r="AR64" s="598">
        <f t="shared" si="52"/>
        <v>0</v>
      </c>
      <c r="AS64" s="296">
        <f t="shared" ca="1" si="41"/>
        <v>0.9999999847700205</v>
      </c>
      <c r="AT64" s="297">
        <f t="shared" ca="1" si="42"/>
        <v>0.9999999847700205</v>
      </c>
      <c r="AU64" s="297">
        <f t="shared" si="43"/>
        <v>0</v>
      </c>
      <c r="AV64" s="297">
        <f t="shared" ca="1" si="44"/>
        <v>0.9999999847700205</v>
      </c>
      <c r="AW64" s="298">
        <f t="shared" ca="1" si="45"/>
        <v>0</v>
      </c>
      <c r="AX64" s="296">
        <f t="shared" ca="1" si="46"/>
        <v>0.99970997714178589</v>
      </c>
      <c r="AY64" s="297">
        <f t="shared" ca="1" si="46"/>
        <v>0.9999031224859023</v>
      </c>
      <c r="AZ64" s="297">
        <f t="shared" si="46"/>
        <v>0</v>
      </c>
      <c r="BA64" s="297">
        <f t="shared" ca="1" si="46"/>
        <v>0.8586931504268559</v>
      </c>
      <c r="BB64" s="298">
        <f t="shared" ca="1" si="46"/>
        <v>0</v>
      </c>
      <c r="BC64" s="296">
        <f t="shared" ca="1" si="53"/>
        <v>9.6877514097704065E-5</v>
      </c>
      <c r="BD64" s="297">
        <f t="shared" ca="1" si="47"/>
        <v>0.34972219219172418</v>
      </c>
      <c r="BE64" s="297">
        <f t="shared" ca="1" si="48"/>
        <v>0.34978975900079934</v>
      </c>
      <c r="BF64" s="297">
        <f t="shared" ca="1" si="49"/>
        <v>0</v>
      </c>
      <c r="BG64" s="297">
        <f t="shared" ca="1" si="50"/>
        <v>0.30039117129337883</v>
      </c>
      <c r="BH64" s="298">
        <f t="shared" ca="1" si="51"/>
        <v>0</v>
      </c>
    </row>
    <row r="65" spans="1:60" x14ac:dyDescent="0.2">
      <c r="A65" s="317">
        <v>2048</v>
      </c>
      <c r="B65" s="820" cm="1">
        <f t="array" ref="B65">ROUND(INDEX(COST_Cls3,$A65-($A$24-1),MATCH(B$20,TECHOPTS_Cls3,0)),2)</f>
        <v>84617.53</v>
      </c>
      <c r="C65" s="821" cm="1">
        <f t="array" ref="C65">ROUND(INDEX(COST_Cls3,$A65-($A$24-1),MATCH(C$20,TECHOPTS_Cls3,0)),2)</f>
        <v>793.39</v>
      </c>
      <c r="D65" s="821" cm="1">
        <f t="array" ref="D65">ROUND(INDEX(COST_Cls3,$A65-($A$24-1),MATCH(D$20,TECHOPTS_Cls3,0)),2)</f>
        <v>189.14</v>
      </c>
      <c r="E65" s="821" cm="1">
        <f t="array" ref="E65">ROUND(INDEX(COST_Cls3,$A65-($A$24-1),MATCH(E$20,TECHOPTS_Cls3,0)),2)</f>
        <v>20591.490000000002</v>
      </c>
      <c r="F65" s="821" cm="1">
        <f t="array" ref="F65">ROUND(INDEX(COST_Cls3,$A65-($A$24-1),MATCH(F$20,TECHOPTS_Cls3,0)),2)</f>
        <v>17914.62</v>
      </c>
      <c r="G65" s="822" cm="1">
        <f t="array" ref="G65">ROUND(INDEX(COST_Cls3,$A65-($A$24-1),MATCH(G$20,TECHOPTS_Cls3,0)),2)</f>
        <v>1000000</v>
      </c>
      <c r="H65" s="781" cm="1">
        <f t="array" ref="H65">IF(H$21="Single-fuel",1,1-MIN(INDEX(CDRANGE_CLS3,$A65-($A$24-1),MATCH(H$20,TECHOPTS_Cls3,0))*OPDAYS_Cls3/$D$6,1))</f>
        <v>1</v>
      </c>
      <c r="I65" s="782" cm="1">
        <f t="array" ref="I65">IF(I$21="Single-fuel",1,1-MIN(INDEX(CDRANGE_CLS3,$A65-($A$24-1),MATCH(I$20,TECHOPTS_Cls3,0))*OPDAYS_Cls3/$D$6,1))</f>
        <v>1</v>
      </c>
      <c r="J65" s="782" cm="1">
        <f t="array" ref="J65">IF(J$21="Single-fuel",1,1-MIN(INDEX(CDRANGE_CLS3,$A65-($A$24-1),MATCH(J$20,TECHOPTS_Cls3,0))*OPDAYS_Cls3/$D$6,1))</f>
        <v>1</v>
      </c>
      <c r="K65" s="782" cm="1">
        <f t="array" ref="K65">IF(K$21="Single-fuel",1,1-MIN(INDEX(CDRANGE_CLS3,$A65-($A$24-1),MATCH(K$20,TECHOPTS_Cls3,0))*OPDAYS_Cls3/$D$6,1))</f>
        <v>1</v>
      </c>
      <c r="L65" s="782" cm="1">
        <f t="array" ref="L65">IF(L$21="Single-fuel",1,1-MIN(INDEX(CDRANGE_CLS3,$A65-($A$24-1),MATCH(L$20,TECHOPTS_Cls3,0))*OPDAYS_Cls3/$D$6,1))</f>
        <v>1</v>
      </c>
      <c r="M65" s="783" cm="1">
        <f t="array" ref="M65">IF(M$21="Single-fuel",1,1-MIN(INDEX(CDRANGE_CLS3,$A65-($A$24-1),MATCH(M$20,TECHOPTS_Cls3,0))*OPDAYS_Cls3/$D$6,1))</f>
        <v>1</v>
      </c>
      <c r="N65" s="733" cm="1">
        <f t="array" ref="N65">VLOOKUP($A65,IF($D$5="Central",FuelPriceCent,FuelPriceNCent),MATCH(N$21,FuelPriceCols,0),0)*(H65*$D$6)/(12*INDEX(FUEL1MPG_Cls3,$A65-($A$24-1),MATCH(N$20,TECHOPTS_Cls3,0)))+IFERROR(VLOOKUP($A65,IF($D$5="Central",FuelPriceCent,FuelPriceNCent),MATCH(INDEX($G$11:$G$16,MATCH(N$20,$B$11:$B$16,0)),FuelPriceCols,0),0),0)*((1-H65)*$D$6)/(12*INDEX(FUEL2MPG_Cls3,$A65-($A$24-1),MATCH(N$20,TECHOPTS_Cls3,0)))</f>
        <v>9177.1972418102068</v>
      </c>
      <c r="O65" s="276" cm="1">
        <f t="array" ref="O65">VLOOKUP($A65,IF($D$5="Central",FuelPriceCent,FuelPriceNCent),MATCH(O$21,FuelPriceCols,0),0)*(I65*$D$6)/(12*INDEX(FUEL1MPG_Cls3,$A65-($A$24-1),MATCH(O$20,TECHOPTS_Cls3,0)))+IFERROR(VLOOKUP($A65,IF($D$5="Central",FuelPriceCent,FuelPriceNCent),MATCH(INDEX($G$11:$G$16,MATCH(O$20,$B$11:$B$16,0)),FuelPriceCols,0),0),0)*((1-I65)*$D$6)/(12*INDEX(FUEL2MPG_Cls3,$A65-($A$24-1),MATCH(O$20,TECHOPTS_Cls3,0)))</f>
        <v>7648.9931709380589</v>
      </c>
      <c r="P65" s="276" cm="1">
        <f t="array" ref="P65">VLOOKUP($A65,IF($D$5="Central",FuelPriceCent,FuelPriceNCent),MATCH(P$21,FuelPriceCols,0),0)*(J65*$D$6)/(12*INDEX(FUEL1MPG_Cls3,$A65-($A$24-1),MATCH(P$20,TECHOPTS_Cls3,0)))+IFERROR(VLOOKUP($A65,IF($D$5="Central",FuelPriceCent,FuelPriceNCent),MATCH(INDEX($G$11:$G$16,MATCH(P$20,$B$11:$B$16,0)),FuelPriceCols,0),0),0)*((1-J65)*$D$6)/(12*INDEX(FUEL2MPG_Cls3,$A65-($A$24-1),MATCH(P$20,TECHOPTS_Cls3,0)))</f>
        <v>4473.0260765445892</v>
      </c>
      <c r="Q65" s="276" cm="1">
        <f t="array" ref="Q65">VLOOKUP($A65,IF($D$5="Central",FuelPriceCent,FuelPriceNCent),MATCH(Q$21,FuelPriceCols,0),0)*(K65*$D$6)/(12*INDEX(FUEL1MPG_Cls3,$A65-($A$24-1),MATCH(Q$20,TECHOPTS_Cls3,0)))+IFERROR(VLOOKUP($A65,IF($D$5="Central",FuelPriceCent,FuelPriceNCent),MATCH(INDEX($G$11:$G$16,MATCH(Q$20,$B$11:$B$16,0)),FuelPriceCols,0),0),0)*((1-K65)*$D$6)/(12*INDEX(FUEL2MPG_Cls3,$A65-($A$24-1),MATCH(Q$20,TECHOPTS_Cls3,0)))</f>
        <v>2331.6981809360595</v>
      </c>
      <c r="R65" s="276" cm="1">
        <f t="array" ref="R65">VLOOKUP($A65,IF($D$5="Central",FuelPriceCent,FuelPriceNCent),MATCH(R$21,FuelPriceCols,0),0)*(L65*$D$6)/(12*INDEX(FUEL1MPG_Cls3,$A65-($A$24-1),MATCH(R$20,TECHOPTS_Cls3,0)))+IFERROR(VLOOKUP($A65,IF($D$5="Central",FuelPriceCent,FuelPriceNCent),MATCH(INDEX($G$11:$G$16,MATCH(R$20,$B$11:$B$16,0)),FuelPriceCols,0),0),0)*((1-L65)*$D$6)/(12*INDEX(FUEL2MPG_Cls3,$A65-($A$24-1),MATCH(R$20,TECHOPTS_Cls3,0)))</f>
        <v>3098.1898703753004</v>
      </c>
      <c r="S65" s="278" cm="1">
        <f t="array" ref="S65">VLOOKUP($A65,IF($D$5="Central",FuelPriceCent,FuelPriceNCent),MATCH(S$21,FuelPriceCols,0),0)*(M65*$D$6)/(12*INDEX(FUEL1MPG_Cls3,$A65-($A$24-1),MATCH(S$20,TECHOPTS_Cls3,0)))+IFERROR(VLOOKUP($A65,IF($D$5="Central",FuelPriceCent,FuelPriceNCent),MATCH(INDEX($G$11:$G$16,MATCH(S$20,$B$11:$B$16,0)),FuelPriceCols,0),0),0)*((1-M65)*$D$6)/(12*INDEX(FUEL2MPG_Cls3,$A65-($A$24-1),MATCH(S$20,TECHOPTS_Cls3,0)))</f>
        <v>72571.954188749995</v>
      </c>
      <c r="T65" s="734">
        <f t="shared" si="30"/>
        <v>1528.2040708721479</v>
      </c>
      <c r="U65" s="290">
        <f t="shared" si="31"/>
        <v>4704.1711652656177</v>
      </c>
      <c r="V65" s="290">
        <f t="shared" si="32"/>
        <v>6845.4990608741473</v>
      </c>
      <c r="W65" s="290">
        <f t="shared" si="33"/>
        <v>6079.0073714349064</v>
      </c>
      <c r="X65" s="291">
        <f t="shared" si="34"/>
        <v>-63394.756946939786</v>
      </c>
      <c r="Y65" s="279" cm="1">
        <f t="array" aca="1" ref="Y65" ca="1">IF(AND(Y$22=TRUE,INDEX(CDRANGE_CLS3,MATCH($A65,$A$24:$A$67,0),MATCH(Y$20,$B$20:$G$20,0))&lt;$D$6/OPDAYS_Cls3),86,payback(C65,T65,disc_rate/12,85))</f>
        <v>1</v>
      </c>
      <c r="Z65" s="280" cm="1">
        <f t="array" aca="1" ref="Z65" ca="1">IF(AND(Z$22=TRUE,INDEX(CDRANGE_CLS3,MATCH($A65,$A$24:$A$67,0),MATCH(Z$20,$B$20:$G$20,0))&lt;$D$6/OPDAYS_Cls3),86,payback(D65,U65,disc_rate/12,85))</f>
        <v>1</v>
      </c>
      <c r="AA65" s="280" cm="1">
        <f t="array" ref="AA65">IF(AND(AA$22=TRUE,INDEX(CDRANGE_CLS3,MATCH($A65,$A$24:$A$67,0),MATCH(AA$20,$B$20:$G$20,0))&lt;$D$6/OPDAYS_Cls3),86,payback(E65,V65,disc_rate/12,85))</f>
        <v>86</v>
      </c>
      <c r="AB65" s="280" cm="1">
        <f t="array" aca="1" ref="AB65" ca="1">IF(AND(AB$22=TRUE,INDEX(CDRANGE_CLS3,MATCH($A65,$A$24:$A$67,0),MATCH(AB$20,$B$20:$G$20,0))&lt;$D$6/OPDAYS_Cls3),86,payback(F65,W65,disc_rate/12,85))</f>
        <v>3</v>
      </c>
      <c r="AC65" s="281" cm="1">
        <f t="array" aca="1" ref="AC65" ca="1">IF(AND(AC$22=TRUE,INDEX(CDRANGE_CLS3,MATCH($A65,$A$24:$A$67,0),MATCH(AC$20,$B$20:$G$20,0))&lt;$D$6/OPDAYS_Cls3),86,payback(G65,X65,disc_rate/12,85))</f>
        <v>86</v>
      </c>
      <c r="AD65" s="296">
        <f t="shared" si="35"/>
        <v>0</v>
      </c>
      <c r="AE65" s="297">
        <f t="shared" si="36"/>
        <v>0</v>
      </c>
      <c r="AF65" s="297">
        <f t="shared" si="37"/>
        <v>0</v>
      </c>
      <c r="AG65" s="297">
        <f t="shared" si="38"/>
        <v>0</v>
      </c>
      <c r="AH65" s="298">
        <f t="shared" si="39"/>
        <v>0</v>
      </c>
      <c r="AI65" s="595" cm="1">
        <f t="array" ref="AI65">IF($A65&lt;AI$23,0,AI$21+VLOOKUP($A65-AI$23,SCdata,2,1)*(AI$22-AI$21))*IF($D$5="Non-Central",INDEX(fuel_avail,$A65-$A$24+1,MATCH(O$21,Fuels,0)),1)</f>
        <v>0.49999999719860178</v>
      </c>
      <c r="AJ65" s="300" cm="1">
        <f t="array" ref="AJ65">IF($A65&lt;AJ$23,0,AJ$21+VLOOKUP($A65-AJ$23,SCdata,2,1)*(AJ$22-AJ$21))*IF($D$5="Non-Central",INDEX(fuel_avail,$A65-$A$24+1,MATCH(P$21,Fuels,0)),1)</f>
        <v>0.49999999719860178</v>
      </c>
      <c r="AK65" s="300" cm="1">
        <f t="array" ref="AK65">IF($A65&lt;AK$23,0,AK$21+VLOOKUP($A65-AK$23,SCdata,2,1)*(AK$22-AK$21))*IF($D$5="Non-Central",INDEX(fuel_avail,$A65-$A$24+1,MATCH(Q$21,Fuels,0)),1)</f>
        <v>0.49999999719860178</v>
      </c>
      <c r="AL65" s="300" cm="1">
        <f t="array" ref="AL65">IF($A65&lt;AL$23,0,AL$21+VLOOKUP($A65-AL$23,SCdata,2,1)*(AL$22-AL$21))*IF($D$5="Non-Central",INDEX(fuel_avail,$A65-$A$24+1,MATCH(R$21,Fuels,0)),1)</f>
        <v>0.49999999719860178</v>
      </c>
      <c r="AM65" s="598" cm="1">
        <f t="array" ref="AM65">IF($A65&lt;AM$23,0,AM$21+VLOOKUP($A65-AM$23,SCdata,2,1)*(AM$22-AM$21))*IF($D$5="Non-Central",INDEX(fuel_avail,$A65-$A$24+1,MATCH(S$21,Fuels,0)),1)</f>
        <v>0</v>
      </c>
      <c r="AN65" s="299">
        <f t="shared" si="52"/>
        <v>0.99975582723069223</v>
      </c>
      <c r="AO65" s="300">
        <f t="shared" si="52"/>
        <v>0.99998612156272682</v>
      </c>
      <c r="AP65" s="300">
        <f t="shared" si="52"/>
        <v>0.84832210904858996</v>
      </c>
      <c r="AQ65" s="300">
        <f t="shared" si="52"/>
        <v>0.88293252552359491</v>
      </c>
      <c r="AR65" s="598">
        <f t="shared" si="52"/>
        <v>0</v>
      </c>
      <c r="AS65" s="296">
        <f t="shared" ca="1" si="41"/>
        <v>0.99999999439720355</v>
      </c>
      <c r="AT65" s="297">
        <f t="shared" ca="1" si="42"/>
        <v>0.99999999439720355</v>
      </c>
      <c r="AU65" s="297">
        <f t="shared" si="43"/>
        <v>0</v>
      </c>
      <c r="AV65" s="297">
        <f t="shared" ca="1" si="44"/>
        <v>0.99999999439720355</v>
      </c>
      <c r="AW65" s="298">
        <f t="shared" ca="1" si="45"/>
        <v>0</v>
      </c>
      <c r="AX65" s="296">
        <f t="shared" ca="1" si="46"/>
        <v>0.9997558216292638</v>
      </c>
      <c r="AY65" s="297">
        <f t="shared" ca="1" si="46"/>
        <v>0.99998611596000808</v>
      </c>
      <c r="AZ65" s="297">
        <f t="shared" si="46"/>
        <v>0</v>
      </c>
      <c r="BA65" s="297">
        <f t="shared" ca="1" si="46"/>
        <v>0.88293252057670368</v>
      </c>
      <c r="BB65" s="298">
        <f t="shared" ca="1" si="46"/>
        <v>0</v>
      </c>
      <c r="BC65" s="296">
        <f t="shared" ca="1" si="53"/>
        <v>1.3884039991918229E-5</v>
      </c>
      <c r="BD65" s="297">
        <f t="shared" ca="1" si="47"/>
        <v>0.34681055925250515</v>
      </c>
      <c r="BE65" s="297">
        <f t="shared" ca="1" si="48"/>
        <v>0.34689044726506801</v>
      </c>
      <c r="BF65" s="297">
        <f t="shared" ca="1" si="49"/>
        <v>0</v>
      </c>
      <c r="BG65" s="297">
        <f t="shared" ca="1" si="50"/>
        <v>0.30628510944243498</v>
      </c>
      <c r="BH65" s="298">
        <f t="shared" ca="1" si="51"/>
        <v>0</v>
      </c>
    </row>
    <row r="66" spans="1:60" x14ac:dyDescent="0.2">
      <c r="A66" s="317">
        <v>2049</v>
      </c>
      <c r="B66" s="820" cm="1">
        <f t="array" ref="B66">ROUND(INDEX(COST_Cls3,$A66-($A$24-1),MATCH(B$20,TECHOPTS_Cls3,0)),2)</f>
        <v>84669.9</v>
      </c>
      <c r="C66" s="821" cm="1">
        <f t="array" ref="C66">ROUND(INDEX(COST_Cls3,$A66-($A$24-1),MATCH(C$20,TECHOPTS_Cls3,0)),2)</f>
        <v>746.5</v>
      </c>
      <c r="D66" s="821" cm="1">
        <f t="array" ref="D66">ROUND(INDEX(COST_Cls3,$A66-($A$24-1),MATCH(D$20,TECHOPTS_Cls3,0)),2)</f>
        <v>150</v>
      </c>
      <c r="E66" s="821" cm="1">
        <f t="array" ref="E66">ROUND(INDEX(COST_Cls3,$A66-($A$24-1),MATCH(E$20,TECHOPTS_Cls3,0)),2)</f>
        <v>17818.919999999998</v>
      </c>
      <c r="F66" s="821" cm="1">
        <f t="array" ref="F66">ROUND(INDEX(COST_Cls3,$A66-($A$24-1),MATCH(F$20,TECHOPTS_Cls3,0)),2)</f>
        <v>16662.38</v>
      </c>
      <c r="G66" s="822" cm="1">
        <f t="array" ref="G66">ROUND(INDEX(COST_Cls3,$A66-($A$24-1),MATCH(G$20,TECHOPTS_Cls3,0)),2)</f>
        <v>1000000</v>
      </c>
      <c r="H66" s="781" cm="1">
        <f t="array" ref="H66">IF(H$21="Single-fuel",1,1-MIN(INDEX(CDRANGE_CLS3,$A66-($A$24-1),MATCH(H$20,TECHOPTS_Cls3,0))*OPDAYS_Cls3/$D$6,1))</f>
        <v>1</v>
      </c>
      <c r="I66" s="782" cm="1">
        <f t="array" ref="I66">IF(I$21="Single-fuel",1,1-MIN(INDEX(CDRANGE_CLS3,$A66-($A$24-1),MATCH(I$20,TECHOPTS_Cls3,0))*OPDAYS_Cls3/$D$6,1))</f>
        <v>1</v>
      </c>
      <c r="J66" s="782" cm="1">
        <f t="array" ref="J66">IF(J$21="Single-fuel",1,1-MIN(INDEX(CDRANGE_CLS3,$A66-($A$24-1),MATCH(J$20,TECHOPTS_Cls3,0))*OPDAYS_Cls3/$D$6,1))</f>
        <v>1</v>
      </c>
      <c r="K66" s="782" cm="1">
        <f t="array" ref="K66">IF(K$21="Single-fuel",1,1-MIN(INDEX(CDRANGE_CLS3,$A66-($A$24-1),MATCH(K$20,TECHOPTS_Cls3,0))*OPDAYS_Cls3/$D$6,1))</f>
        <v>1</v>
      </c>
      <c r="L66" s="782" cm="1">
        <f t="array" ref="L66">IF(L$21="Single-fuel",1,1-MIN(INDEX(CDRANGE_CLS3,$A66-($A$24-1),MATCH(L$20,TECHOPTS_Cls3,0))*OPDAYS_Cls3/$D$6,1))</f>
        <v>1</v>
      </c>
      <c r="M66" s="783" cm="1">
        <f t="array" ref="M66">IF(M$21="Single-fuel",1,1-MIN(INDEX(CDRANGE_CLS3,$A66-($A$24-1),MATCH(M$20,TECHOPTS_Cls3,0))*OPDAYS_Cls3/$D$6,1))</f>
        <v>1</v>
      </c>
      <c r="N66" s="733" cm="1">
        <f t="array" ref="N66">VLOOKUP($A66,IF($D$5="Central",FuelPriceCent,FuelPriceNCent),MATCH(N$21,FuelPriceCols,0),0)*(H66*$D$6)/(12*INDEX(FUEL1MPG_Cls3,$A66-($A$24-1),MATCH(N$20,TECHOPTS_Cls3,0)))+IFERROR(VLOOKUP($A66,IF($D$5="Central",FuelPriceCent,FuelPriceNCent),MATCH(INDEX($G$11:$G$16,MATCH(N$20,$B$11:$B$16,0)),FuelPriceCols,0),0),0)*((1-H66)*$D$6)/(12*INDEX(FUEL2MPG_Cls3,$A66-($A$24-1),MATCH(N$20,TECHOPTS_Cls3,0)))</f>
        <v>9227.279827354525</v>
      </c>
      <c r="O66" s="276" cm="1">
        <f t="array" ref="O66">VLOOKUP($A66,IF($D$5="Central",FuelPriceCent,FuelPriceNCent),MATCH(O$21,FuelPriceCols,0),0)*(I66*$D$6)/(12*INDEX(FUEL1MPG_Cls3,$A66-($A$24-1),MATCH(O$20,TECHOPTS_Cls3,0)))+IFERROR(VLOOKUP($A66,IF($D$5="Central",FuelPriceCent,FuelPriceNCent),MATCH(INDEX($G$11:$G$16,MATCH(O$20,$B$11:$B$16,0)),FuelPriceCols,0),0),0)*((1-I66)*$D$6)/(12*INDEX(FUEL2MPG_Cls3,$A66-($A$24-1),MATCH(O$20,TECHOPTS_Cls3,0)))</f>
        <v>7653.0264938968285</v>
      </c>
      <c r="P66" s="276" cm="1">
        <f t="array" ref="P66">VLOOKUP($A66,IF($D$5="Central",FuelPriceCent,FuelPriceNCent),MATCH(P$21,FuelPriceCols,0),0)*(J66*$D$6)/(12*INDEX(FUEL1MPG_Cls3,$A66-($A$24-1),MATCH(P$20,TECHOPTS_Cls3,0)))+IFERROR(VLOOKUP($A66,IF($D$5="Central",FuelPriceCent,FuelPriceNCent),MATCH(INDEX($G$11:$G$16,MATCH(P$20,$B$11:$B$16,0)),FuelPriceCols,0),0),0)*((1-J66)*$D$6)/(12*INDEX(FUEL2MPG_Cls3,$A66-($A$24-1),MATCH(P$20,TECHOPTS_Cls3,0)))</f>
        <v>4461.088625470984</v>
      </c>
      <c r="Q66" s="276" cm="1">
        <f t="array" ref="Q66">VLOOKUP($A66,IF($D$5="Central",FuelPriceCent,FuelPriceNCent),MATCH(Q$21,FuelPriceCols,0),0)*(K66*$D$6)/(12*INDEX(FUEL1MPG_Cls3,$A66-($A$24-1),MATCH(Q$20,TECHOPTS_Cls3,0)))+IFERROR(VLOOKUP($A66,IF($D$5="Central",FuelPriceCent,FuelPriceNCent),MATCH(INDEX($G$11:$G$16,MATCH(Q$20,$B$11:$B$16,0)),FuelPriceCols,0),0),0)*((1-K66)*$D$6)/(12*INDEX(FUEL2MPG_Cls3,$A66-($A$24-1),MATCH(Q$20,TECHOPTS_Cls3,0)))</f>
        <v>2272.4620302411954</v>
      </c>
      <c r="R66" s="276" cm="1">
        <f t="array" ref="R66">VLOOKUP($A66,IF($D$5="Central",FuelPriceCent,FuelPriceNCent),MATCH(R$21,FuelPriceCols,0),0)*(L66*$D$6)/(12*INDEX(FUEL1MPG_Cls3,$A66-($A$24-1),MATCH(R$20,TECHOPTS_Cls3,0)))+IFERROR(VLOOKUP($A66,IF($D$5="Central",FuelPriceCent,FuelPriceNCent),MATCH(INDEX($G$11:$G$16,MATCH(R$20,$B$11:$B$16,0)),FuelPriceCols,0),0),0)*((1-L66)*$D$6)/(12*INDEX(FUEL2MPG_Cls3,$A66-($A$24-1),MATCH(R$20,TECHOPTS_Cls3,0)))</f>
        <v>2980.9409560321042</v>
      </c>
      <c r="S66" s="278" cm="1">
        <f t="array" ref="S66">VLOOKUP($A66,IF($D$5="Central",FuelPriceCent,FuelPriceNCent),MATCH(S$21,FuelPriceCols,0),0)*(M66*$D$6)/(12*INDEX(FUEL1MPG_Cls3,$A66-($A$24-1),MATCH(S$20,TECHOPTS_Cls3,0)))+IFERROR(VLOOKUP($A66,IF($D$5="Central",FuelPriceCent,FuelPriceNCent),MATCH(INDEX($G$11:$G$16,MATCH(S$20,$B$11:$B$16,0)),FuelPriceCols,0),0),0)*((1-M66)*$D$6)/(12*INDEX(FUEL2MPG_Cls3,$A66-($A$24-1),MATCH(S$20,TECHOPTS_Cls3,0)))</f>
        <v>73016.359391249993</v>
      </c>
      <c r="T66" s="734">
        <f t="shared" si="30"/>
        <v>1574.2533334576965</v>
      </c>
      <c r="U66" s="290">
        <f t="shared" si="31"/>
        <v>4766.191201883541</v>
      </c>
      <c r="V66" s="290">
        <f t="shared" si="32"/>
        <v>6954.81779711333</v>
      </c>
      <c r="W66" s="290">
        <f t="shared" si="33"/>
        <v>6246.3388713224213</v>
      </c>
      <c r="X66" s="291">
        <f t="shared" si="34"/>
        <v>-63789.079563895466</v>
      </c>
      <c r="Y66" s="279" cm="1">
        <f t="array" aca="1" ref="Y66" ca="1">IF(AND(Y$22=TRUE,INDEX(CDRANGE_CLS3,MATCH($A66,$A$24:$A$67,0),MATCH(Y$20,$B$20:$G$20,0))&lt;$D$6/OPDAYS_Cls3),86,payback(C66,T66,disc_rate/12,85))</f>
        <v>1</v>
      </c>
      <c r="Z66" s="280" cm="1">
        <f t="array" aca="1" ref="Z66" ca="1">IF(AND(Z$22=TRUE,INDEX(CDRANGE_CLS3,MATCH($A66,$A$24:$A$67,0),MATCH(Z$20,$B$20:$G$20,0))&lt;$D$6/OPDAYS_Cls3),86,payback(D66,U66,disc_rate/12,85))</f>
        <v>1</v>
      </c>
      <c r="AA66" s="280" cm="1">
        <f t="array" ref="AA66">IF(AND(AA$22=TRUE,INDEX(CDRANGE_CLS3,MATCH($A66,$A$24:$A$67,0),MATCH(AA$20,$B$20:$G$20,0))&lt;$D$6/OPDAYS_Cls3),86,payback(E66,V66,disc_rate/12,85))</f>
        <v>86</v>
      </c>
      <c r="AB66" s="280" cm="1">
        <f t="array" aca="1" ref="AB66" ca="1">IF(AND(AB$22=TRUE,INDEX(CDRANGE_CLS3,MATCH($A66,$A$24:$A$67,0),MATCH(AB$20,$B$20:$G$20,0))&lt;$D$6/OPDAYS_Cls3),86,payback(F66,W66,disc_rate/12,85))</f>
        <v>3</v>
      </c>
      <c r="AC66" s="281" cm="1">
        <f t="array" aca="1" ref="AC66" ca="1">IF(AND(AC$22=TRUE,INDEX(CDRANGE_CLS3,MATCH($A66,$A$24:$A$67,0),MATCH(AC$20,$B$20:$G$20,0))&lt;$D$6/OPDAYS_Cls3),86,payback(G66,X66,disc_rate/12,85))</f>
        <v>86</v>
      </c>
      <c r="AD66" s="296">
        <f t="shared" si="35"/>
        <v>0</v>
      </c>
      <c r="AE66" s="297">
        <f t="shared" si="36"/>
        <v>0</v>
      </c>
      <c r="AF66" s="297">
        <f t="shared" si="37"/>
        <v>0</v>
      </c>
      <c r="AG66" s="297">
        <f t="shared" si="38"/>
        <v>0</v>
      </c>
      <c r="AH66" s="298">
        <f t="shared" si="39"/>
        <v>0</v>
      </c>
      <c r="AI66" s="595" cm="1">
        <f t="array" ref="AI66">IF($A66&lt;AI$23,0,AI$21+VLOOKUP($A66-AI$23,SCdata,2,1)*(AI$22-AI$21))*IF($D$5="Non-Central",INDEX(fuel_avail,$A66-$A$24+1,MATCH(O$21,Fuels,0)),1)</f>
        <v>0.49999999896942315</v>
      </c>
      <c r="AJ66" s="300" cm="1">
        <f t="array" ref="AJ66">IF($A66&lt;AJ$23,0,AJ$21+VLOOKUP($A66-AJ$23,SCdata,2,1)*(AJ$22-AJ$21))*IF($D$5="Non-Central",INDEX(fuel_avail,$A66-$A$24+1,MATCH(P$21,Fuels,0)),1)</f>
        <v>0.49999999896942315</v>
      </c>
      <c r="AK66" s="300" cm="1">
        <f t="array" ref="AK66">IF($A66&lt;AK$23,0,AK$21+VLOOKUP($A66-AK$23,SCdata,2,1)*(AK$22-AK$21))*IF($D$5="Non-Central",INDEX(fuel_avail,$A66-$A$24+1,MATCH(Q$21,Fuels,0)),1)</f>
        <v>0.49999999896942315</v>
      </c>
      <c r="AL66" s="300" cm="1">
        <f t="array" ref="AL66">IF($A66&lt;AL$23,0,AL$21+VLOOKUP($A66-AL$23,SCdata,2,1)*(AL$22-AL$21))*IF($D$5="Non-Central",INDEX(fuel_avail,$A66-$A$24+1,MATCH(R$21,Fuels,0)),1)</f>
        <v>0.49999999896942315</v>
      </c>
      <c r="AM66" s="598" cm="1">
        <f t="array" ref="AM66">IF($A66&lt;AM$23,0,AM$21+VLOOKUP($A66-AM$23,SCdata,2,1)*(AM$22-AM$21))*IF($D$5="Non-Central",INDEX(fuel_avail,$A66-$A$24+1,MATCH(S$21,Fuels,0)),1)</f>
        <v>0</v>
      </c>
      <c r="AN66" s="299">
        <f t="shared" si="52"/>
        <v>0.99978410024802877</v>
      </c>
      <c r="AO66" s="300">
        <f t="shared" si="52"/>
        <v>0.99999128193644848</v>
      </c>
      <c r="AP66" s="300">
        <f t="shared" si="52"/>
        <v>0.88423935500098971</v>
      </c>
      <c r="AQ66" s="300">
        <f t="shared" si="52"/>
        <v>0.89800869762360469</v>
      </c>
      <c r="AR66" s="598">
        <f t="shared" si="52"/>
        <v>0</v>
      </c>
      <c r="AS66" s="296">
        <f t="shared" ca="1" si="41"/>
        <v>0.99999999793884631</v>
      </c>
      <c r="AT66" s="297">
        <f t="shared" ca="1" si="42"/>
        <v>0.99999999793884631</v>
      </c>
      <c r="AU66" s="297">
        <f t="shared" si="43"/>
        <v>0</v>
      </c>
      <c r="AV66" s="297">
        <f t="shared" ca="1" si="44"/>
        <v>0.99999999793884631</v>
      </c>
      <c r="AW66" s="298">
        <f t="shared" ca="1" si="45"/>
        <v>0</v>
      </c>
      <c r="AX66" s="296">
        <f t="shared" ca="1" si="46"/>
        <v>0.99978409818732006</v>
      </c>
      <c r="AY66" s="297">
        <f t="shared" ca="1" si="46"/>
        <v>0.99999127987531278</v>
      </c>
      <c r="AZ66" s="297">
        <f t="shared" si="46"/>
        <v>0</v>
      </c>
      <c r="BA66" s="297">
        <f t="shared" ca="1" si="46"/>
        <v>0.89800869577267073</v>
      </c>
      <c r="BB66" s="298">
        <f t="shared" ca="1" si="46"/>
        <v>0</v>
      </c>
      <c r="BC66" s="296">
        <f t="shared" ca="1" si="53"/>
        <v>8.7201246872226079E-6</v>
      </c>
      <c r="BD66" s="297">
        <f t="shared" ca="1" si="47"/>
        <v>0.34501376033242226</v>
      </c>
      <c r="BE66" s="297">
        <f t="shared" ca="1" si="48"/>
        <v>0.345085256301778</v>
      </c>
      <c r="BF66" s="297">
        <f t="shared" ca="1" si="49"/>
        <v>0</v>
      </c>
      <c r="BG66" s="297">
        <f t="shared" ca="1" si="50"/>
        <v>0.30989226324111258</v>
      </c>
      <c r="BH66" s="298">
        <f t="shared" ca="1" si="51"/>
        <v>0</v>
      </c>
    </row>
    <row r="67" spans="1:60" ht="13.5" thickBot="1" x14ac:dyDescent="0.25">
      <c r="A67" s="302">
        <v>2050</v>
      </c>
      <c r="B67" s="823" cm="1">
        <f t="array" ref="B67">ROUND(INDEX(COST_Cls3,$A67-($A$24-1),MATCH(B$20,TECHOPTS_Cls3,0)),2)</f>
        <v>84730.5</v>
      </c>
      <c r="C67" s="824" cm="1">
        <f t="array" ref="C67">ROUND(INDEX(COST_Cls3,$A67-($A$24-1),MATCH(C$20,TECHOPTS_Cls3,0)),2)</f>
        <v>667.5</v>
      </c>
      <c r="D67" s="824" cm="1">
        <f t="array" ref="D67">ROUND(INDEX(COST_Cls3,$A67-($A$24-1),MATCH(D$20,TECHOPTS_Cls3,0)),2)</f>
        <v>100</v>
      </c>
      <c r="E67" s="824" cm="1">
        <f t="array" ref="E67">ROUND(INDEX(COST_Cls3,$A67-($A$24-1),MATCH(E$20,TECHOPTS_Cls3,0)),2)</f>
        <v>13147.5</v>
      </c>
      <c r="F67" s="824" cm="1">
        <f t="array" ref="F67">ROUND(INDEX(COST_Cls3,$A67-($A$24-1),MATCH(F$20,TECHOPTS_Cls3,0)),2)</f>
        <v>14552.5</v>
      </c>
      <c r="G67" s="825" cm="1">
        <f t="array" ref="G67">ROUND(INDEX(COST_Cls3,$A67-($A$24-1),MATCH(G$20,TECHOPTS_Cls3,0)),2)</f>
        <v>1000000</v>
      </c>
      <c r="H67" s="781" cm="1">
        <f t="array" ref="H67">IF(H$21="Single-fuel",1,1-MIN(INDEX(CDRANGE_CLS3,$A67-($A$24-1),MATCH(H$20,TECHOPTS_Cls3,0))*OPDAYS_Cls3/$D$6,1))</f>
        <v>1</v>
      </c>
      <c r="I67" s="782" cm="1">
        <f t="array" ref="I67">IF(I$21="Single-fuel",1,1-MIN(INDEX(CDRANGE_CLS3,$A67-($A$24-1),MATCH(I$20,TECHOPTS_Cls3,0))*OPDAYS_Cls3/$D$6,1))</f>
        <v>1</v>
      </c>
      <c r="J67" s="782" cm="1">
        <f t="array" ref="J67">IF(J$21="Single-fuel",1,1-MIN(INDEX(CDRANGE_CLS3,$A67-($A$24-1),MATCH(J$20,TECHOPTS_Cls3,0))*OPDAYS_Cls3/$D$6,1))</f>
        <v>1</v>
      </c>
      <c r="K67" s="782" cm="1">
        <f t="array" ref="K67">IF(K$21="Single-fuel",1,1-MIN(INDEX(CDRANGE_CLS3,$A67-($A$24-1),MATCH(K$20,TECHOPTS_Cls3,0))*OPDAYS_Cls3/$D$6,1))</f>
        <v>1</v>
      </c>
      <c r="L67" s="782" cm="1">
        <f t="array" ref="L67">IF(L$21="Single-fuel",1,1-MIN(INDEX(CDRANGE_CLS3,$A67-($A$24-1),MATCH(L$20,TECHOPTS_Cls3,0))*OPDAYS_Cls3/$D$6,1))</f>
        <v>1</v>
      </c>
      <c r="M67" s="783" cm="1">
        <f t="array" ref="M67">IF(M$21="Single-fuel",1,1-MIN(INDEX(CDRANGE_CLS3,$A67-($A$24-1),MATCH(M$20,TECHOPTS_Cls3,0))*OPDAYS_Cls3/$D$6,1))</f>
        <v>1</v>
      </c>
      <c r="N67" s="883" cm="1">
        <f t="array" ref="N67">VLOOKUP($A67,IF($D$5="Central",FuelPriceCent,FuelPriceNCent),MATCH(N$21,FuelPriceCols,0),0)*(H67*$D$6)/(12*INDEX(FUEL1MPG_Cls3,$A67-($A$24-1),MATCH(N$20,TECHOPTS_Cls3,0)))+IFERROR(VLOOKUP($A67,IF($D$5="Central",FuelPriceCent,FuelPriceNCent),MATCH(INDEX($G$11:$G$16,MATCH(N$20,$B$11:$B$16,0)),FuelPriceCols,0),0),0)*((1-H67)*$D$6)/(12*INDEX(FUEL2MPG_Cls3,$A67-($A$24-1),MATCH(N$20,TECHOPTS_Cls3,0)))</f>
        <v>9271.9277853558979</v>
      </c>
      <c r="O67" s="779" cm="1">
        <f t="array" ref="O67">VLOOKUP($A67,IF($D$5="Central",FuelPriceCent,FuelPriceNCent),MATCH(O$21,FuelPriceCols,0),0)*(I67*$D$6)/(12*INDEX(FUEL1MPG_Cls3,$A67-($A$24-1),MATCH(O$20,TECHOPTS_Cls3,0)))+IFERROR(VLOOKUP($A67,IF($D$5="Central",FuelPriceCent,FuelPriceNCent),MATCH(INDEX($G$11:$G$16,MATCH(O$20,$B$11:$B$16,0)),FuelPriceCols,0),0),0)*((1-I67)*$D$6)/(12*INDEX(FUEL2MPG_Cls3,$A67-($A$24-1),MATCH(O$20,TECHOPTS_Cls3,0)))</f>
        <v>7624.4960382502268</v>
      </c>
      <c r="P67" s="779" cm="1">
        <f t="array" ref="P67">VLOOKUP($A67,IF($D$5="Central",FuelPriceCent,FuelPriceNCent),MATCH(P$21,FuelPriceCols,0),0)*(J67*$D$6)/(12*INDEX(FUEL1MPG_Cls3,$A67-($A$24-1),MATCH(P$20,TECHOPTS_Cls3,0)))+IFERROR(VLOOKUP($A67,IF($D$5="Central",FuelPriceCent,FuelPriceNCent),MATCH(INDEX($G$11:$G$16,MATCH(P$20,$B$11:$B$16,0)),FuelPriceCols,0),0),0)*((1-J67)*$D$6)/(12*INDEX(FUEL2MPG_Cls3,$A67-($A$24-1),MATCH(P$20,TECHOPTS_Cls3,0)))</f>
        <v>4421.0152573651148</v>
      </c>
      <c r="Q67" s="779" cm="1">
        <f t="array" ref="Q67">VLOOKUP($A67,IF($D$5="Central",FuelPriceCent,FuelPriceNCent),MATCH(Q$21,FuelPriceCols,0),0)*(K67*$D$6)/(12*INDEX(FUEL1MPG_Cls3,$A67-($A$24-1),MATCH(Q$20,TECHOPTS_Cls3,0)))+IFERROR(VLOOKUP($A67,IF($D$5="Central",FuelPriceCent,FuelPriceNCent),MATCH(INDEX($G$11:$G$16,MATCH(Q$20,$B$11:$B$16,0)),FuelPriceCols,0),0),0)*((1-K67)*$D$6)/(12*INDEX(FUEL2MPG_Cls3,$A67-($A$24-1),MATCH(Q$20,TECHOPTS_Cls3,0)))</f>
        <v>2219.4750312509805</v>
      </c>
      <c r="R67" s="779" cm="1">
        <f t="array" ref="R67">VLOOKUP($A67,IF($D$5="Central",FuelPriceCent,FuelPriceNCent),MATCH(R$21,FuelPriceCols,0),0)*(L67*$D$6)/(12*INDEX(FUEL1MPG_Cls3,$A67-($A$24-1),MATCH(R$20,TECHOPTS_Cls3,0)))+IFERROR(VLOOKUP($A67,IF($D$5="Central",FuelPriceCent,FuelPriceNCent),MATCH(INDEX($G$11:$G$16,MATCH(R$20,$B$11:$B$16,0)),FuelPriceCols,0),0),0)*((1-L67)*$D$6)/(12*INDEX(FUEL2MPG_Cls3,$A67-($A$24-1),MATCH(R$20,TECHOPTS_Cls3,0)))</f>
        <v>2847.0104825584081</v>
      </c>
      <c r="S67" s="780" cm="1">
        <f t="array" ref="S67">VLOOKUP($A67,IF($D$5="Central",FuelPriceCent,FuelPriceNCent),MATCH(S$21,FuelPriceCols,0),0)*(M67*$D$6)/(12*INDEX(FUEL1MPG_Cls3,$A67-($A$24-1),MATCH(S$20,TECHOPTS_Cls3,0)))+IFERROR(VLOOKUP($A67,IF($D$5="Central",FuelPriceCent,FuelPriceNCent),MATCH(INDEX($G$11:$G$16,MATCH(S$20,$B$11:$B$16,0)),FuelPriceCols,0),0),0)*((1-M67)*$D$6)/(12*INDEX(FUEL2MPG_Cls3,$A67-($A$24-1),MATCH(S$20,TECHOPTS_Cls3,0)))</f>
        <v>73425.895413749997</v>
      </c>
      <c r="T67" s="737">
        <f t="shared" si="30"/>
        <v>1647.4317471056711</v>
      </c>
      <c r="U67" s="304">
        <f t="shared" si="31"/>
        <v>4850.912527990783</v>
      </c>
      <c r="V67" s="304">
        <f t="shared" si="32"/>
        <v>7052.4527541049174</v>
      </c>
      <c r="W67" s="304">
        <f t="shared" si="33"/>
        <v>6424.9173027974903</v>
      </c>
      <c r="X67" s="305">
        <f t="shared" si="34"/>
        <v>-64153.967628394101</v>
      </c>
      <c r="Y67" s="888" cm="1">
        <f t="array" aca="1" ref="Y67" ca="1">IF(AND(Y$22=TRUE,INDEX(CDRANGE_CLS3,MATCH($A67,$A$24:$A$67,0),MATCH(Y$20,$B$20:$G$20,0))&lt;$D$6/OPDAYS_Cls3),86,payback(C67,T67,disc_rate/12,85))</f>
        <v>1</v>
      </c>
      <c r="Z67" s="889" cm="1">
        <f t="array" aca="1" ref="Z67" ca="1">IF(AND(Z$22=TRUE,INDEX(CDRANGE_CLS3,MATCH($A67,$A$24:$A$67,0),MATCH(Z$20,$B$20:$G$20,0))&lt;$D$6/OPDAYS_Cls3),86,payback(D67,U67,disc_rate/12,85))</f>
        <v>1</v>
      </c>
      <c r="AA67" s="889" cm="1">
        <f t="array" ref="AA67">IF(AND(AA$22=TRUE,INDEX(CDRANGE_CLS3,MATCH($A67,$A$24:$A$67,0),MATCH(AA$20,$B$20:$G$20,0))&lt;$D$6/OPDAYS_Cls3),86,payback(E67,V67,disc_rate/12,85))</f>
        <v>86</v>
      </c>
      <c r="AB67" s="889" cm="1">
        <f t="array" aca="1" ref="AB67" ca="1">IF(AND(AB$22=TRUE,INDEX(CDRANGE_CLS3,MATCH($A67,$A$24:$A$67,0),MATCH(AB$20,$B$20:$G$20,0))&lt;$D$6/OPDAYS_Cls3),86,payback(F67,W67,disc_rate/12,85))</f>
        <v>3</v>
      </c>
      <c r="AC67" s="890" cm="1">
        <f t="array" aca="1" ref="AC67" ca="1">IF(AND(AC$22=TRUE,INDEX(CDRANGE_CLS3,MATCH($A67,$A$24:$A$67,0),MATCH(AC$20,$B$20:$G$20,0))&lt;$D$6/OPDAYS_Cls3),86,payback(G67,X67,disc_rate/12,85))</f>
        <v>86</v>
      </c>
      <c r="AD67" s="310">
        <f t="shared" si="35"/>
        <v>0</v>
      </c>
      <c r="AE67" s="311">
        <f t="shared" si="36"/>
        <v>0</v>
      </c>
      <c r="AF67" s="311">
        <f t="shared" si="37"/>
        <v>0</v>
      </c>
      <c r="AG67" s="311">
        <f t="shared" si="38"/>
        <v>0</v>
      </c>
      <c r="AH67" s="312">
        <f t="shared" si="39"/>
        <v>0</v>
      </c>
      <c r="AI67" s="596" cm="1">
        <f t="array" ref="AI67">IF($A67&lt;AI$23,0,AI$21+VLOOKUP($A67-AI$23,SCdata,2,1)*(AI$22-AI$21))*IF($D$5="Non-Central",INDEX(fuel_avail,$A67-$A$24+1,MATCH(O$21,Fuels,0)),1)</f>
        <v>0.49999999962087194</v>
      </c>
      <c r="AJ67" s="314" cm="1">
        <f t="array" ref="AJ67">IF($A67&lt;AJ$23,0,AJ$21+VLOOKUP($A67-AJ$23,SCdata,2,1)*(AJ$22-AJ$21))*IF($D$5="Non-Central",INDEX(fuel_avail,$A67-$A$24+1,MATCH(P$21,Fuels,0)),1)</f>
        <v>0.49999999962087194</v>
      </c>
      <c r="AK67" s="314" cm="1">
        <f t="array" ref="AK67">IF($A67&lt;AK$23,0,AK$21+VLOOKUP($A67-AK$23,SCdata,2,1)*(AK$22-AK$21))*IF($D$5="Non-Central",INDEX(fuel_avail,$A67-$A$24+1,MATCH(Q$21,Fuels,0)),1)</f>
        <v>0.49999999962087194</v>
      </c>
      <c r="AL67" s="314" cm="1">
        <f t="array" ref="AL67">IF($A67&lt;AL$23,0,AL$21+VLOOKUP($A67-AL$23,SCdata,2,1)*(AL$22-AL$21))*IF($D$5="Non-Central",INDEX(fuel_avail,$A67-$A$24+1,MATCH(R$21,Fuels,0)),1)</f>
        <v>0.49999999962087194</v>
      </c>
      <c r="AM67" s="599" cm="1">
        <f t="array" ref="AM67">IF($A67&lt;AM$23,0,AM$21+VLOOKUP($A67-AM$23,SCdata,2,1)*(AM$22-AM$21))*IF($D$5="Non-Central",INDEX(fuel_avail,$A67-$A$24+1,MATCH(S$21,Fuels,0)),1)</f>
        <v>0</v>
      </c>
      <c r="AN67" s="313">
        <f t="shared" si="52"/>
        <v>0.99982762151213733</v>
      </c>
      <c r="AO67" s="314">
        <f t="shared" si="52"/>
        <v>0.99999613083615746</v>
      </c>
      <c r="AP67" s="314">
        <f t="shared" si="52"/>
        <v>0.93530627123737053</v>
      </c>
      <c r="AQ67" s="314">
        <f t="shared" si="52"/>
        <v>0.92132772042276012</v>
      </c>
      <c r="AR67" s="599">
        <f t="shared" si="52"/>
        <v>0</v>
      </c>
      <c r="AS67" s="310">
        <f t="shared" ca="1" si="41"/>
        <v>0.99999999924174388</v>
      </c>
      <c r="AT67" s="311">
        <f t="shared" ca="1" si="42"/>
        <v>0.99999999924174388</v>
      </c>
      <c r="AU67" s="311">
        <f t="shared" si="43"/>
        <v>0</v>
      </c>
      <c r="AV67" s="311">
        <f t="shared" ca="1" si="44"/>
        <v>0.99999999924174388</v>
      </c>
      <c r="AW67" s="312">
        <f t="shared" ca="1" si="45"/>
        <v>0</v>
      </c>
      <c r="AX67" s="310">
        <f t="shared" ca="1" si="46"/>
        <v>0.99982762075401188</v>
      </c>
      <c r="AY67" s="311">
        <f t="shared" ca="1" si="46"/>
        <v>0.99999613007790422</v>
      </c>
      <c r="AZ67" s="311">
        <f t="shared" si="46"/>
        <v>0</v>
      </c>
      <c r="BA67" s="311">
        <f t="shared" ca="1" si="46"/>
        <v>0.92132771972415772</v>
      </c>
      <c r="BB67" s="312">
        <f t="shared" ca="1" si="46"/>
        <v>0</v>
      </c>
      <c r="BC67" s="310">
        <f t="shared" ca="1" si="53"/>
        <v>3.8699220957782998E-6</v>
      </c>
      <c r="BD67" s="311">
        <f t="shared" ca="1" si="47"/>
        <v>0.34227042369312083</v>
      </c>
      <c r="BE67" s="311">
        <f t="shared" ca="1" si="48"/>
        <v>0.34232810939462344</v>
      </c>
      <c r="BF67" s="311">
        <f t="shared" ca="1" si="49"/>
        <v>0</v>
      </c>
      <c r="BG67" s="311">
        <f t="shared" ca="1" si="50"/>
        <v>0.31539759699016001</v>
      </c>
      <c r="BH67" s="312">
        <f t="shared" ca="1" si="51"/>
        <v>0</v>
      </c>
    </row>
    <row r="68" spans="1:60" x14ac:dyDescent="0.2">
      <c r="A68" s="227" t="s">
        <v>240</v>
      </c>
      <c r="B68" s="808"/>
      <c r="C68" s="808"/>
      <c r="D68" s="808"/>
      <c r="E68" s="808"/>
      <c r="F68" s="808"/>
      <c r="G68" s="768"/>
      <c r="N68" s="884"/>
      <c r="O68" s="884"/>
      <c r="P68" s="884"/>
      <c r="Q68" s="884"/>
      <c r="R68" s="884"/>
      <c r="S68" s="884"/>
      <c r="W68" s="227" t="s">
        <v>40</v>
      </c>
      <c r="X68" s="227" t="s">
        <v>40</v>
      </c>
      <c r="Y68" s="234"/>
      <c r="Z68" s="234"/>
      <c r="AA68" s="234"/>
      <c r="AB68" s="234"/>
      <c r="AC68" s="234"/>
      <c r="AD68" s="322"/>
      <c r="AE68" s="234"/>
      <c r="AF68" s="234"/>
      <c r="AG68" s="234"/>
      <c r="AH68" s="234"/>
    </row>
    <row r="69" spans="1:60" ht="13.5" thickBot="1" x14ac:dyDescent="0.25"/>
    <row r="70" spans="1:60" s="29" customFormat="1" ht="15" x14ac:dyDescent="0.25">
      <c r="A70" s="333"/>
      <c r="B70" s="1538" t="s">
        <v>193</v>
      </c>
      <c r="C70" s="1539"/>
      <c r="D70" s="1539"/>
      <c r="E70" s="1539"/>
      <c r="F70" s="1539"/>
      <c r="G70" s="1539"/>
      <c r="H70" s="1539"/>
      <c r="I70" s="1539"/>
      <c r="J70" s="1539"/>
      <c r="K70" s="1539"/>
      <c r="L70" s="1539"/>
      <c r="M70" s="1539"/>
      <c r="N70" s="1540"/>
      <c r="O70" s="1538" t="s">
        <v>194</v>
      </c>
      <c r="P70" s="1539"/>
      <c r="Q70" s="1539"/>
      <c r="R70" s="1539"/>
      <c r="S70" s="1539"/>
      <c r="T70" s="1539"/>
      <c r="U70" s="1539"/>
      <c r="V70" s="1539"/>
      <c r="W70" s="1539"/>
      <c r="X70" s="1539"/>
      <c r="Y70" s="1539"/>
      <c r="Z70" s="1539"/>
      <c r="AA70" s="1540"/>
    </row>
    <row r="71" spans="1:60" x14ac:dyDescent="0.2">
      <c r="A71" s="324"/>
      <c r="B71" s="1535" t="s">
        <v>121</v>
      </c>
      <c r="C71" s="1536"/>
      <c r="D71" s="1536"/>
      <c r="E71" s="1536"/>
      <c r="F71" s="1536"/>
      <c r="G71" s="1536"/>
      <c r="H71" s="1536"/>
      <c r="I71" s="1536"/>
      <c r="J71" s="1536"/>
      <c r="K71" s="1536"/>
      <c r="L71" s="1537"/>
      <c r="M71" s="382"/>
      <c r="N71" s="325"/>
      <c r="O71" s="1535" t="s">
        <v>121</v>
      </c>
      <c r="P71" s="1536"/>
      <c r="Q71" s="1536"/>
      <c r="R71" s="1536"/>
      <c r="S71" s="1536"/>
      <c r="T71" s="1536"/>
      <c r="U71" s="1536"/>
      <c r="V71" s="1536"/>
      <c r="W71" s="1536"/>
      <c r="X71" s="1536"/>
      <c r="Y71" s="1537"/>
      <c r="Z71" s="382"/>
      <c r="AA71" s="325"/>
      <c r="AC71" s="954" t="s">
        <v>267</v>
      </c>
      <c r="AD71" s="234" t="b">
        <f>INDEX(TECH_OPT_FUEL2_Cls1,MATCH(RIGHT(O70),TECH_OPT_ROWS_Cls1,0))&lt;&gt;"N/A"</f>
        <v>0</v>
      </c>
      <c r="AI71" s="227"/>
      <c r="AJ71" s="227"/>
      <c r="AK71" s="227"/>
      <c r="AL71" s="227"/>
      <c r="AM71" s="227"/>
    </row>
    <row r="72" spans="1:60" s="228" customFormat="1" ht="13.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ht="13.5" thickTop="1" thickBot="1" x14ac:dyDescent="0.25">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09">
        <v>1.1022999100839563E-4</v>
      </c>
      <c r="Z73" s="384"/>
      <c r="AA73" s="336"/>
    </row>
    <row r="74" spans="1:60" s="228" customFormat="1" x14ac:dyDescent="0.2">
      <c r="A74" s="331" t="s">
        <v>125</v>
      </c>
      <c r="B74" s="923">
        <f t="array" ref="B74:L74">TRANSPOSE(Cls3CentVMTShr)</f>
        <v>7.4407503791532936E-2</v>
      </c>
      <c r="C74" s="924">
        <v>0.15052192967997111</v>
      </c>
      <c r="D74" s="924">
        <v>8.9028098283245441E-2</v>
      </c>
      <c r="E74" s="924">
        <v>4.5356257743642811E-2</v>
      </c>
      <c r="F74" s="924">
        <v>2.1016507050137231E-2</v>
      </c>
      <c r="G74" s="924">
        <v>4.9007047894213725E-4</v>
      </c>
      <c r="H74" s="924">
        <v>1.4797621296467818E-2</v>
      </c>
      <c r="I74" s="924">
        <v>0</v>
      </c>
      <c r="J74" s="924">
        <v>0</v>
      </c>
      <c r="K74" s="924">
        <v>3.7103078033661591E-3</v>
      </c>
      <c r="L74" s="1210">
        <v>0</v>
      </c>
      <c r="M74" s="1211"/>
      <c r="N74" s="1212"/>
      <c r="O74" s="923">
        <f t="array" ref="O74:Y74">TRANSPOSE(Cls3NCentVMTShr)</f>
        <v>0.11481596497083862</v>
      </c>
      <c r="P74" s="924">
        <v>0.26987209279577573</v>
      </c>
      <c r="Q74" s="924">
        <v>8.3836105982992667E-2</v>
      </c>
      <c r="R74" s="924">
        <v>5.9842896537765707E-2</v>
      </c>
      <c r="S74" s="924">
        <v>1.6413649143963899E-2</v>
      </c>
      <c r="T74" s="924">
        <v>1.0165768727376887E-2</v>
      </c>
      <c r="U74" s="924">
        <v>2.0700108148562976E-2</v>
      </c>
      <c r="V74" s="924">
        <v>2.0956833812228508E-2</v>
      </c>
      <c r="W74" s="924">
        <v>3.1584958359553582E-3</v>
      </c>
      <c r="X74" s="924">
        <v>0</v>
      </c>
      <c r="Y74" s="925">
        <v>9.0978791723388369E-4</v>
      </c>
      <c r="Z74" s="1211"/>
      <c r="AA74" s="1212"/>
      <c r="AB74" s="1551" t="str">
        <f>"% of miles on f2 for Tech "&amp; RIGHT(O69)&amp;" adopters"</f>
        <v>% of miles on f2 for Tech  adopters</v>
      </c>
      <c r="AC74" s="1552"/>
      <c r="AD74" s="1553"/>
      <c r="AE74" s="1237" t="s">
        <v>298</v>
      </c>
      <c r="AF74" s="1238"/>
      <c r="AG74" s="1238"/>
      <c r="AH74" s="1228" t="s">
        <v>297</v>
      </c>
      <c r="AI74" s="1229"/>
    </row>
    <row r="75" spans="1:60" ht="13.5" thickBot="1" x14ac:dyDescent="0.25">
      <c r="A75" s="942" t="s">
        <v>266</v>
      </c>
      <c r="B75" s="933">
        <f t="array" ref="B75:L75">TRANSPOSE(Cls3CentVMT/OPDAYS_Cls3)</f>
        <v>49.202805162026571</v>
      </c>
      <c r="C75" s="934">
        <v>115.99623692884222</v>
      </c>
      <c r="D75" s="934">
        <v>190.94140758026836</v>
      </c>
      <c r="E75" s="934">
        <v>282.72824571583544</v>
      </c>
      <c r="F75" s="934">
        <v>349.10577157713089</v>
      </c>
      <c r="G75" s="934">
        <v>408.92399999999998</v>
      </c>
      <c r="H75" s="934">
        <v>540.31926836851005</v>
      </c>
      <c r="I75" s="934">
        <v>600</v>
      </c>
      <c r="J75" s="934">
        <v>680</v>
      </c>
      <c r="K75" s="934">
        <v>800.00000000000011</v>
      </c>
      <c r="L75" s="935">
        <v>800</v>
      </c>
      <c r="M75" s="931"/>
      <c r="N75" s="932"/>
      <c r="O75" s="933">
        <f t="array" ref="O75:Y75">TRANSPOSE(Cls3NCentVMT/OPDAYS_Cls3)</f>
        <v>45.820527909508108</v>
      </c>
      <c r="P75" s="934">
        <v>114.90604343518244</v>
      </c>
      <c r="Q75" s="934">
        <v>196.29405935940918</v>
      </c>
      <c r="R75" s="934">
        <v>286.46435582159182</v>
      </c>
      <c r="S75" s="934">
        <v>352.24339419308075</v>
      </c>
      <c r="T75" s="934">
        <v>427.07804424634116</v>
      </c>
      <c r="U75" s="934">
        <v>519.59880241076587</v>
      </c>
      <c r="V75" s="934">
        <v>608.4346682070543</v>
      </c>
      <c r="W75" s="934">
        <v>703.2</v>
      </c>
      <c r="X75" s="934">
        <v>760</v>
      </c>
      <c r="Y75" s="1213">
        <v>900</v>
      </c>
      <c r="Z75" s="943"/>
      <c r="AA75" s="932"/>
      <c r="AB75" s="945" t="s">
        <v>186</v>
      </c>
      <c r="AC75" s="946" t="s">
        <v>15</v>
      </c>
      <c r="AD75" s="947" t="s">
        <v>18</v>
      </c>
      <c r="AE75" s="330" t="s">
        <v>186</v>
      </c>
      <c r="AF75" s="1239" t="s">
        <v>15</v>
      </c>
      <c r="AG75" s="1239" t="s">
        <v>18</v>
      </c>
      <c r="AH75" s="1240" t="s">
        <v>186</v>
      </c>
      <c r="AI75" s="1241" t="s">
        <v>15</v>
      </c>
    </row>
    <row r="76" spans="1:60" ht="13.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1">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1">
        <f>SUMPRODUCT(O76:Y76,$O$73:$Y$73)</f>
        <v>0</v>
      </c>
      <c r="AB76" s="948">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49">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6">
        <f>AB76*AH76+AC76*AI76</f>
        <v>0</v>
      </c>
      <c r="AE76" s="1230">
        <f t="shared" ref="AE76:AE90" si="54">SUMPRODUCT($B$74:$L$74,B76:L76)</f>
        <v>0</v>
      </c>
      <c r="AF76" s="1231">
        <f t="shared" ref="AF76:AF90" si="55">SUMPRODUCT($O$74:$Y$74,O76:Y76)</f>
        <v>0</v>
      </c>
      <c r="AG76" s="1231">
        <f t="shared" ref="AG76:AG90" si="56">SUM(AE76:AF76)</f>
        <v>0</v>
      </c>
      <c r="AH76" s="1172">
        <f>IF(AG76&gt;0,AE76/AG76,0)</f>
        <v>0</v>
      </c>
      <c r="AI76" s="1232">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57">SUMPRODUCT(B77:L77,$B$74:$L$74)</f>
        <v>0</v>
      </c>
      <c r="N77" s="298">
        <f t="shared" ref="N77:N119" si="58">SUMPRODUCT(B77:L77,$B$73:$L$73)</f>
        <v>0</v>
      </c>
      <c r="O77" s="344">
        <v>0</v>
      </c>
      <c r="P77" s="345">
        <v>0</v>
      </c>
      <c r="Q77" s="345">
        <v>0</v>
      </c>
      <c r="R77" s="345">
        <v>0</v>
      </c>
      <c r="S77" s="345">
        <v>0</v>
      </c>
      <c r="T77" s="345">
        <v>0</v>
      </c>
      <c r="U77" s="345">
        <v>0</v>
      </c>
      <c r="V77" s="345">
        <v>0</v>
      </c>
      <c r="W77" s="345">
        <v>0</v>
      </c>
      <c r="X77" s="345">
        <v>0</v>
      </c>
      <c r="Y77" s="380">
        <v>0</v>
      </c>
      <c r="Z77" s="296">
        <f t="shared" ref="Z77:Z119" si="59">SUMPRODUCT(O77:Y77,$O$74:$Y$74)</f>
        <v>0</v>
      </c>
      <c r="AA77" s="298">
        <f t="shared" ref="AA77:AA119" si="60">SUMPRODUCT(O77:Y77,$O$73:$Y$73)</f>
        <v>0</v>
      </c>
      <c r="AB77" s="948">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49">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6">
        <f t="shared" ref="AD77:AD101" si="61">AB77*AH77+AC77*AI77</f>
        <v>0</v>
      </c>
      <c r="AE77" s="1230">
        <f t="shared" si="54"/>
        <v>0</v>
      </c>
      <c r="AF77" s="1231">
        <f t="shared" si="55"/>
        <v>0</v>
      </c>
      <c r="AG77" s="1231">
        <f t="shared" si="56"/>
        <v>0</v>
      </c>
      <c r="AH77" s="1172">
        <f t="shared" ref="AH77:AH119" si="62">IF(AG77&gt;0,AE77/AG77,0)</f>
        <v>0</v>
      </c>
      <c r="AI77" s="1232">
        <f t="shared" ref="AI77:AI119" si="63">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57"/>
        <v>0</v>
      </c>
      <c r="N78" s="298">
        <f t="shared" si="58"/>
        <v>0</v>
      </c>
      <c r="O78" s="344">
        <v>0</v>
      </c>
      <c r="P78" s="345">
        <v>0</v>
      </c>
      <c r="Q78" s="345">
        <v>0</v>
      </c>
      <c r="R78" s="345">
        <v>0</v>
      </c>
      <c r="S78" s="345">
        <v>0</v>
      </c>
      <c r="T78" s="345">
        <v>0</v>
      </c>
      <c r="U78" s="345">
        <v>0</v>
      </c>
      <c r="V78" s="345">
        <v>0</v>
      </c>
      <c r="W78" s="345">
        <v>0</v>
      </c>
      <c r="X78" s="345">
        <v>0</v>
      </c>
      <c r="Y78" s="380">
        <v>0</v>
      </c>
      <c r="Z78" s="296">
        <f t="shared" si="59"/>
        <v>0</v>
      </c>
      <c r="AA78" s="298">
        <f t="shared" si="60"/>
        <v>0</v>
      </c>
      <c r="AB78" s="948">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49">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6">
        <f t="shared" si="61"/>
        <v>0</v>
      </c>
      <c r="AE78" s="1230">
        <f t="shared" si="54"/>
        <v>0</v>
      </c>
      <c r="AF78" s="1231">
        <f t="shared" si="55"/>
        <v>0</v>
      </c>
      <c r="AG78" s="1231">
        <f t="shared" si="56"/>
        <v>0</v>
      </c>
      <c r="AH78" s="1172">
        <f t="shared" si="62"/>
        <v>0</v>
      </c>
      <c r="AI78" s="1232">
        <f t="shared" si="63"/>
        <v>0</v>
      </c>
      <c r="AJ78" s="227"/>
      <c r="AK78" s="227"/>
      <c r="AL78" s="227"/>
      <c r="AM78" s="227"/>
    </row>
    <row r="79" spans="1:60" ht="13.5" thickBot="1" x14ac:dyDescent="0.25">
      <c r="A79" s="328">
        <v>2010</v>
      </c>
      <c r="B79" s="346">
        <v>0</v>
      </c>
      <c r="C79" s="347">
        <v>0</v>
      </c>
      <c r="D79" s="347">
        <v>0</v>
      </c>
      <c r="E79" s="347">
        <v>0</v>
      </c>
      <c r="F79" s="347">
        <v>0</v>
      </c>
      <c r="G79" s="347">
        <v>0</v>
      </c>
      <c r="H79" s="347">
        <v>0</v>
      </c>
      <c r="I79" s="347">
        <v>0</v>
      </c>
      <c r="J79" s="347">
        <v>0</v>
      </c>
      <c r="K79" s="347">
        <v>0</v>
      </c>
      <c r="L79" s="381">
        <v>0</v>
      </c>
      <c r="M79" s="310">
        <f t="shared" si="57"/>
        <v>0</v>
      </c>
      <c r="N79" s="312">
        <f t="shared" si="58"/>
        <v>0</v>
      </c>
      <c r="O79" s="346">
        <v>0</v>
      </c>
      <c r="P79" s="347">
        <v>0</v>
      </c>
      <c r="Q79" s="347">
        <v>0</v>
      </c>
      <c r="R79" s="347">
        <v>0</v>
      </c>
      <c r="S79" s="347">
        <v>0</v>
      </c>
      <c r="T79" s="347">
        <v>0</v>
      </c>
      <c r="U79" s="347">
        <v>0</v>
      </c>
      <c r="V79" s="347">
        <v>0</v>
      </c>
      <c r="W79" s="347">
        <v>0</v>
      </c>
      <c r="X79" s="347">
        <v>0</v>
      </c>
      <c r="Y79" s="381">
        <v>0</v>
      </c>
      <c r="Z79" s="310">
        <f t="shared" si="59"/>
        <v>0</v>
      </c>
      <c r="AA79" s="312">
        <f t="shared" si="60"/>
        <v>0</v>
      </c>
      <c r="AB79" s="948">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49">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6">
        <f t="shared" si="61"/>
        <v>0</v>
      </c>
      <c r="AE79" s="1230">
        <f t="shared" si="54"/>
        <v>0</v>
      </c>
      <c r="AF79" s="1231">
        <f t="shared" si="55"/>
        <v>0</v>
      </c>
      <c r="AG79" s="1231">
        <f t="shared" si="56"/>
        <v>0</v>
      </c>
      <c r="AH79" s="1172">
        <f t="shared" si="62"/>
        <v>0</v>
      </c>
      <c r="AI79" s="1232">
        <f t="shared" si="63"/>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57"/>
        <v>0</v>
      </c>
      <c r="N80" s="284">
        <f t="shared" si="58"/>
        <v>0</v>
      </c>
      <c r="O80" s="342">
        <v>0</v>
      </c>
      <c r="P80" s="343">
        <v>0</v>
      </c>
      <c r="Q80" s="343">
        <v>0</v>
      </c>
      <c r="R80" s="343">
        <v>0</v>
      </c>
      <c r="S80" s="343">
        <v>0</v>
      </c>
      <c r="T80" s="343">
        <v>0</v>
      </c>
      <c r="U80" s="343">
        <v>0</v>
      </c>
      <c r="V80" s="343">
        <v>0</v>
      </c>
      <c r="W80" s="343">
        <v>0</v>
      </c>
      <c r="X80" s="343">
        <v>0</v>
      </c>
      <c r="Y80" s="379">
        <v>0</v>
      </c>
      <c r="Z80" s="282">
        <f t="shared" si="59"/>
        <v>0</v>
      </c>
      <c r="AA80" s="284">
        <f t="shared" si="60"/>
        <v>0</v>
      </c>
      <c r="AB80" s="948">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49">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6">
        <f t="shared" si="61"/>
        <v>0</v>
      </c>
      <c r="AE80" s="1230">
        <f t="shared" si="54"/>
        <v>0</v>
      </c>
      <c r="AF80" s="1231">
        <f t="shared" si="55"/>
        <v>0</v>
      </c>
      <c r="AG80" s="1231">
        <f t="shared" si="56"/>
        <v>0</v>
      </c>
      <c r="AH80" s="1172">
        <f t="shared" si="62"/>
        <v>0</v>
      </c>
      <c r="AI80" s="1232">
        <f t="shared" si="63"/>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57"/>
        <v>0</v>
      </c>
      <c r="N81" s="298">
        <f t="shared" si="58"/>
        <v>0</v>
      </c>
      <c r="O81" s="344">
        <v>0</v>
      </c>
      <c r="P81" s="345">
        <v>0</v>
      </c>
      <c r="Q81" s="345">
        <v>0</v>
      </c>
      <c r="R81" s="345">
        <v>0</v>
      </c>
      <c r="S81" s="345">
        <v>0</v>
      </c>
      <c r="T81" s="345">
        <v>0</v>
      </c>
      <c r="U81" s="345">
        <v>0</v>
      </c>
      <c r="V81" s="345">
        <v>0</v>
      </c>
      <c r="W81" s="345">
        <v>0</v>
      </c>
      <c r="X81" s="345">
        <v>0</v>
      </c>
      <c r="Y81" s="380">
        <v>0</v>
      </c>
      <c r="Z81" s="296">
        <f t="shared" si="59"/>
        <v>0</v>
      </c>
      <c r="AA81" s="298">
        <f t="shared" si="60"/>
        <v>0</v>
      </c>
      <c r="AB81" s="948">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49">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6">
        <f t="shared" si="61"/>
        <v>0</v>
      </c>
      <c r="AE81" s="1230">
        <f t="shared" si="54"/>
        <v>0</v>
      </c>
      <c r="AF81" s="1231">
        <f t="shared" si="55"/>
        <v>0</v>
      </c>
      <c r="AG81" s="1231">
        <f t="shared" si="56"/>
        <v>0</v>
      </c>
      <c r="AH81" s="1172">
        <f t="shared" si="62"/>
        <v>0</v>
      </c>
      <c r="AI81" s="1232">
        <f t="shared" si="63"/>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57"/>
        <v>0</v>
      </c>
      <c r="N82" s="298">
        <f t="shared" si="58"/>
        <v>0</v>
      </c>
      <c r="O82" s="344">
        <v>0</v>
      </c>
      <c r="P82" s="345">
        <v>0</v>
      </c>
      <c r="Q82" s="345">
        <v>0</v>
      </c>
      <c r="R82" s="345">
        <v>0</v>
      </c>
      <c r="S82" s="345">
        <v>0</v>
      </c>
      <c r="T82" s="345">
        <v>0</v>
      </c>
      <c r="U82" s="345">
        <v>0</v>
      </c>
      <c r="V82" s="345">
        <v>0</v>
      </c>
      <c r="W82" s="345">
        <v>0</v>
      </c>
      <c r="X82" s="345">
        <v>0</v>
      </c>
      <c r="Y82" s="380">
        <v>0</v>
      </c>
      <c r="Z82" s="296">
        <f t="shared" si="59"/>
        <v>0</v>
      </c>
      <c r="AA82" s="298">
        <f t="shared" si="60"/>
        <v>0</v>
      </c>
      <c r="AB82" s="948">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49">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6">
        <f t="shared" si="61"/>
        <v>0</v>
      </c>
      <c r="AE82" s="1230">
        <f t="shared" si="54"/>
        <v>0</v>
      </c>
      <c r="AF82" s="1231">
        <f t="shared" si="55"/>
        <v>0</v>
      </c>
      <c r="AG82" s="1231">
        <f t="shared" si="56"/>
        <v>0</v>
      </c>
      <c r="AH82" s="1172">
        <f t="shared" si="62"/>
        <v>0</v>
      </c>
      <c r="AI82" s="1232">
        <f t="shared" si="63"/>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57"/>
        <v>0</v>
      </c>
      <c r="N83" s="298">
        <f t="shared" si="58"/>
        <v>0</v>
      </c>
      <c r="O83" s="344">
        <v>0</v>
      </c>
      <c r="P83" s="345">
        <v>0</v>
      </c>
      <c r="Q83" s="345">
        <v>0</v>
      </c>
      <c r="R83" s="345">
        <v>0</v>
      </c>
      <c r="S83" s="345">
        <v>0</v>
      </c>
      <c r="T83" s="345">
        <v>0</v>
      </c>
      <c r="U83" s="345">
        <v>0</v>
      </c>
      <c r="V83" s="345">
        <v>0</v>
      </c>
      <c r="W83" s="345">
        <v>0</v>
      </c>
      <c r="X83" s="345">
        <v>0</v>
      </c>
      <c r="Y83" s="380">
        <v>0</v>
      </c>
      <c r="Z83" s="296">
        <f t="shared" si="59"/>
        <v>0</v>
      </c>
      <c r="AA83" s="298">
        <f t="shared" si="60"/>
        <v>0</v>
      </c>
      <c r="AB83" s="948">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49">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6">
        <f t="shared" si="61"/>
        <v>0</v>
      </c>
      <c r="AE83" s="1230">
        <f t="shared" si="54"/>
        <v>0</v>
      </c>
      <c r="AF83" s="1231">
        <f t="shared" si="55"/>
        <v>0</v>
      </c>
      <c r="AG83" s="1231">
        <f t="shared" si="56"/>
        <v>0</v>
      </c>
      <c r="AH83" s="1172">
        <f t="shared" si="62"/>
        <v>0</v>
      </c>
      <c r="AI83" s="1232">
        <f t="shared" si="63"/>
        <v>0</v>
      </c>
      <c r="AJ83" s="227"/>
      <c r="AK83" s="227"/>
      <c r="AL83" s="227"/>
      <c r="AM83" s="227"/>
    </row>
    <row r="84" spans="1:39" ht="13.5" thickBot="1" x14ac:dyDescent="0.25">
      <c r="A84" s="328">
        <v>2015</v>
      </c>
      <c r="B84" s="346">
        <v>0</v>
      </c>
      <c r="C84" s="347">
        <v>0</v>
      </c>
      <c r="D84" s="347">
        <v>0</v>
      </c>
      <c r="E84" s="347">
        <v>0</v>
      </c>
      <c r="F84" s="347">
        <v>0</v>
      </c>
      <c r="G84" s="347">
        <v>0</v>
      </c>
      <c r="H84" s="347">
        <v>0</v>
      </c>
      <c r="I84" s="347">
        <v>0</v>
      </c>
      <c r="J84" s="347">
        <v>0</v>
      </c>
      <c r="K84" s="347">
        <v>0</v>
      </c>
      <c r="L84" s="381">
        <v>0</v>
      </c>
      <c r="M84" s="310">
        <f t="shared" si="57"/>
        <v>0</v>
      </c>
      <c r="N84" s="312">
        <f t="shared" si="58"/>
        <v>0</v>
      </c>
      <c r="O84" s="346">
        <v>0</v>
      </c>
      <c r="P84" s="347">
        <v>0</v>
      </c>
      <c r="Q84" s="347">
        <v>0</v>
      </c>
      <c r="R84" s="347">
        <v>0</v>
      </c>
      <c r="S84" s="347">
        <v>0</v>
      </c>
      <c r="T84" s="347">
        <v>0</v>
      </c>
      <c r="U84" s="347">
        <v>0</v>
      </c>
      <c r="V84" s="347">
        <v>0</v>
      </c>
      <c r="W84" s="347">
        <v>0</v>
      </c>
      <c r="X84" s="347">
        <v>0</v>
      </c>
      <c r="Y84" s="381">
        <v>0</v>
      </c>
      <c r="Z84" s="310">
        <f t="shared" si="59"/>
        <v>0</v>
      </c>
      <c r="AA84" s="312">
        <f t="shared" si="60"/>
        <v>0</v>
      </c>
      <c r="AB84" s="948">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49">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6">
        <f t="shared" si="61"/>
        <v>0</v>
      </c>
      <c r="AE84" s="1230">
        <f t="shared" si="54"/>
        <v>0</v>
      </c>
      <c r="AF84" s="1231">
        <f t="shared" si="55"/>
        <v>0</v>
      </c>
      <c r="AG84" s="1231">
        <f t="shared" si="56"/>
        <v>0</v>
      </c>
      <c r="AH84" s="1172">
        <f t="shared" si="62"/>
        <v>0</v>
      </c>
      <c r="AI84" s="1232">
        <f t="shared" si="63"/>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57"/>
        <v>0</v>
      </c>
      <c r="N85" s="284">
        <f t="shared" si="58"/>
        <v>0</v>
      </c>
      <c r="O85" s="342">
        <v>0</v>
      </c>
      <c r="P85" s="343">
        <v>0</v>
      </c>
      <c r="Q85" s="343">
        <v>0</v>
      </c>
      <c r="R85" s="343">
        <v>0</v>
      </c>
      <c r="S85" s="343">
        <v>0</v>
      </c>
      <c r="T85" s="343">
        <v>0</v>
      </c>
      <c r="U85" s="343">
        <v>0</v>
      </c>
      <c r="V85" s="343">
        <v>0</v>
      </c>
      <c r="W85" s="343">
        <v>0</v>
      </c>
      <c r="X85" s="343">
        <v>0</v>
      </c>
      <c r="Y85" s="379">
        <v>0</v>
      </c>
      <c r="Z85" s="282">
        <f t="shared" si="59"/>
        <v>0</v>
      </c>
      <c r="AA85" s="284">
        <f t="shared" si="60"/>
        <v>0</v>
      </c>
      <c r="AB85" s="948">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49">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6">
        <f t="shared" si="61"/>
        <v>0</v>
      </c>
      <c r="AE85" s="1230">
        <f t="shared" si="54"/>
        <v>0</v>
      </c>
      <c r="AF85" s="1231">
        <f t="shared" si="55"/>
        <v>0</v>
      </c>
      <c r="AG85" s="1231">
        <f t="shared" si="56"/>
        <v>0</v>
      </c>
      <c r="AH85" s="1172">
        <f t="shared" si="62"/>
        <v>0</v>
      </c>
      <c r="AI85" s="1232">
        <f t="shared" si="63"/>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57"/>
        <v>0</v>
      </c>
      <c r="N86" s="298">
        <f t="shared" si="58"/>
        <v>0</v>
      </c>
      <c r="O86" s="344">
        <v>0</v>
      </c>
      <c r="P86" s="345">
        <v>0</v>
      </c>
      <c r="Q86" s="345">
        <v>0</v>
      </c>
      <c r="R86" s="345">
        <v>0</v>
      </c>
      <c r="S86" s="345">
        <v>0</v>
      </c>
      <c r="T86" s="345">
        <v>0</v>
      </c>
      <c r="U86" s="345">
        <v>0</v>
      </c>
      <c r="V86" s="345">
        <v>0</v>
      </c>
      <c r="W86" s="345">
        <v>0</v>
      </c>
      <c r="X86" s="345">
        <v>0</v>
      </c>
      <c r="Y86" s="380">
        <v>0</v>
      </c>
      <c r="Z86" s="296">
        <f t="shared" si="59"/>
        <v>0</v>
      </c>
      <c r="AA86" s="298">
        <f t="shared" si="60"/>
        <v>0</v>
      </c>
      <c r="AB86" s="948">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49">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6">
        <f t="shared" si="61"/>
        <v>0</v>
      </c>
      <c r="AE86" s="1230">
        <f t="shared" si="54"/>
        <v>0</v>
      </c>
      <c r="AF86" s="1231">
        <f t="shared" si="55"/>
        <v>0</v>
      </c>
      <c r="AG86" s="1231">
        <f t="shared" si="56"/>
        <v>0</v>
      </c>
      <c r="AH86" s="1172">
        <f t="shared" si="62"/>
        <v>0</v>
      </c>
      <c r="AI86" s="1232">
        <f t="shared" si="63"/>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57"/>
        <v>0</v>
      </c>
      <c r="N87" s="298">
        <f t="shared" si="58"/>
        <v>0</v>
      </c>
      <c r="O87" s="344">
        <v>0</v>
      </c>
      <c r="P87" s="345">
        <v>0</v>
      </c>
      <c r="Q87" s="345">
        <v>0</v>
      </c>
      <c r="R87" s="345">
        <v>0</v>
      </c>
      <c r="S87" s="345">
        <v>0</v>
      </c>
      <c r="T87" s="345">
        <v>0</v>
      </c>
      <c r="U87" s="345">
        <v>0</v>
      </c>
      <c r="V87" s="345">
        <v>0</v>
      </c>
      <c r="W87" s="345">
        <v>0</v>
      </c>
      <c r="X87" s="345">
        <v>0</v>
      </c>
      <c r="Y87" s="380">
        <v>0</v>
      </c>
      <c r="Z87" s="296">
        <f t="shared" si="59"/>
        <v>0</v>
      </c>
      <c r="AA87" s="298">
        <f t="shared" si="60"/>
        <v>0</v>
      </c>
      <c r="AB87" s="948">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49">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6">
        <f t="shared" si="61"/>
        <v>0</v>
      </c>
      <c r="AE87" s="1230">
        <f t="shared" si="54"/>
        <v>0</v>
      </c>
      <c r="AF87" s="1231">
        <f t="shared" si="55"/>
        <v>0</v>
      </c>
      <c r="AG87" s="1231">
        <f t="shared" si="56"/>
        <v>0</v>
      </c>
      <c r="AH87" s="1172">
        <f t="shared" si="62"/>
        <v>0</v>
      </c>
      <c r="AI87" s="1232">
        <f t="shared" si="63"/>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57"/>
        <v>0</v>
      </c>
      <c r="N88" s="298">
        <f t="shared" si="58"/>
        <v>0</v>
      </c>
      <c r="O88" s="344">
        <v>0</v>
      </c>
      <c r="P88" s="345">
        <v>0</v>
      </c>
      <c r="Q88" s="345">
        <v>0</v>
      </c>
      <c r="R88" s="345">
        <v>0</v>
      </c>
      <c r="S88" s="345">
        <v>0</v>
      </c>
      <c r="T88" s="345">
        <v>0</v>
      </c>
      <c r="U88" s="345">
        <v>0</v>
      </c>
      <c r="V88" s="345">
        <v>0</v>
      </c>
      <c r="W88" s="345">
        <v>0</v>
      </c>
      <c r="X88" s="345">
        <v>0</v>
      </c>
      <c r="Y88" s="380">
        <v>0</v>
      </c>
      <c r="Z88" s="296">
        <f t="shared" si="59"/>
        <v>0</v>
      </c>
      <c r="AA88" s="298">
        <f t="shared" si="60"/>
        <v>0</v>
      </c>
      <c r="AB88" s="948">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49">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6">
        <f t="shared" si="61"/>
        <v>0</v>
      </c>
      <c r="AE88" s="1230">
        <f t="shared" si="54"/>
        <v>0</v>
      </c>
      <c r="AF88" s="1231">
        <f t="shared" si="55"/>
        <v>0</v>
      </c>
      <c r="AG88" s="1231">
        <f t="shared" si="56"/>
        <v>0</v>
      </c>
      <c r="AH88" s="1172">
        <f t="shared" si="62"/>
        <v>0</v>
      </c>
      <c r="AI88" s="1232">
        <f t="shared" si="63"/>
        <v>0</v>
      </c>
      <c r="AJ88" s="227"/>
      <c r="AK88" s="227"/>
      <c r="AL88" s="227"/>
      <c r="AM88" s="227"/>
    </row>
    <row r="89" spans="1:39" ht="13.5" thickBot="1" x14ac:dyDescent="0.25">
      <c r="A89" s="328">
        <v>2020</v>
      </c>
      <c r="B89" s="346">
        <v>0</v>
      </c>
      <c r="C89" s="347">
        <v>0</v>
      </c>
      <c r="D89" s="347">
        <v>0</v>
      </c>
      <c r="E89" s="347">
        <v>0</v>
      </c>
      <c r="F89" s="347">
        <v>0</v>
      </c>
      <c r="G89" s="347">
        <v>0</v>
      </c>
      <c r="H89" s="347">
        <v>0</v>
      </c>
      <c r="I89" s="347">
        <v>0</v>
      </c>
      <c r="J89" s="347">
        <v>0</v>
      </c>
      <c r="K89" s="347">
        <v>0</v>
      </c>
      <c r="L89" s="381">
        <v>0</v>
      </c>
      <c r="M89" s="310">
        <f t="shared" si="57"/>
        <v>0</v>
      </c>
      <c r="N89" s="312">
        <f t="shared" si="58"/>
        <v>0</v>
      </c>
      <c r="O89" s="346">
        <v>0</v>
      </c>
      <c r="P89" s="347">
        <v>0</v>
      </c>
      <c r="Q89" s="347">
        <v>0</v>
      </c>
      <c r="R89" s="347">
        <v>0</v>
      </c>
      <c r="S89" s="347">
        <v>0</v>
      </c>
      <c r="T89" s="347">
        <v>0</v>
      </c>
      <c r="U89" s="347">
        <v>0</v>
      </c>
      <c r="V89" s="347">
        <v>0</v>
      </c>
      <c r="W89" s="347">
        <v>0</v>
      </c>
      <c r="X89" s="347">
        <v>0</v>
      </c>
      <c r="Y89" s="381">
        <v>0</v>
      </c>
      <c r="Z89" s="310">
        <f t="shared" si="59"/>
        <v>0</v>
      </c>
      <c r="AA89" s="312">
        <f t="shared" si="60"/>
        <v>0</v>
      </c>
      <c r="AB89" s="948">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49">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6">
        <f t="shared" si="61"/>
        <v>0</v>
      </c>
      <c r="AE89" s="1230">
        <f t="shared" si="54"/>
        <v>0</v>
      </c>
      <c r="AF89" s="1231">
        <f t="shared" si="55"/>
        <v>0</v>
      </c>
      <c r="AG89" s="1231">
        <f t="shared" si="56"/>
        <v>0</v>
      </c>
      <c r="AH89" s="1172">
        <f t="shared" si="62"/>
        <v>0</v>
      </c>
      <c r="AI89" s="1232">
        <f t="shared" si="63"/>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57"/>
        <v>0</v>
      </c>
      <c r="N90" s="284">
        <f t="shared" si="58"/>
        <v>0</v>
      </c>
      <c r="O90" s="342">
        <v>0</v>
      </c>
      <c r="P90" s="343">
        <v>0</v>
      </c>
      <c r="Q90" s="343">
        <v>0</v>
      </c>
      <c r="R90" s="343">
        <v>0</v>
      </c>
      <c r="S90" s="343">
        <v>0</v>
      </c>
      <c r="T90" s="343">
        <v>0</v>
      </c>
      <c r="U90" s="343">
        <v>0</v>
      </c>
      <c r="V90" s="343">
        <v>0</v>
      </c>
      <c r="W90" s="343">
        <v>0</v>
      </c>
      <c r="X90" s="343">
        <v>0</v>
      </c>
      <c r="Y90" s="379">
        <v>0</v>
      </c>
      <c r="Z90" s="282">
        <f t="shared" si="59"/>
        <v>0</v>
      </c>
      <c r="AA90" s="284">
        <f t="shared" si="60"/>
        <v>0</v>
      </c>
      <c r="AB90" s="948">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49">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6">
        <f t="shared" si="61"/>
        <v>0</v>
      </c>
      <c r="AE90" s="1230">
        <f t="shared" si="54"/>
        <v>0</v>
      </c>
      <c r="AF90" s="1231">
        <f t="shared" si="55"/>
        <v>0</v>
      </c>
      <c r="AG90" s="1231">
        <f t="shared" si="56"/>
        <v>0</v>
      </c>
      <c r="AH90" s="1172">
        <f t="shared" si="62"/>
        <v>0</v>
      </c>
      <c r="AI90" s="1232">
        <f t="shared" si="63"/>
        <v>0</v>
      </c>
      <c r="AJ90" s="227"/>
      <c r="AK90" s="227"/>
      <c r="AL90" s="227"/>
      <c r="AM90" s="227"/>
    </row>
    <row r="91" spans="1:39" x14ac:dyDescent="0.2">
      <c r="A91" s="330">
        <v>2022</v>
      </c>
      <c r="B91" s="344">
        <v>0</v>
      </c>
      <c r="C91" s="345">
        <v>0</v>
      </c>
      <c r="D91" s="345">
        <v>0</v>
      </c>
      <c r="E91" s="345">
        <v>0</v>
      </c>
      <c r="F91" s="345">
        <v>0</v>
      </c>
      <c r="G91" s="345">
        <v>0</v>
      </c>
      <c r="H91" s="345">
        <v>0</v>
      </c>
      <c r="I91" s="345">
        <v>0</v>
      </c>
      <c r="J91" s="345">
        <v>0</v>
      </c>
      <c r="K91" s="345">
        <v>0</v>
      </c>
      <c r="L91" s="380">
        <v>0</v>
      </c>
      <c r="M91" s="296">
        <f t="shared" si="57"/>
        <v>0</v>
      </c>
      <c r="N91" s="298">
        <f t="shared" si="58"/>
        <v>0</v>
      </c>
      <c r="O91" s="344">
        <v>0</v>
      </c>
      <c r="P91" s="345">
        <v>0</v>
      </c>
      <c r="Q91" s="345">
        <v>0</v>
      </c>
      <c r="R91" s="345">
        <v>0</v>
      </c>
      <c r="S91" s="345">
        <v>0</v>
      </c>
      <c r="T91" s="345">
        <v>0</v>
      </c>
      <c r="U91" s="345">
        <v>0</v>
      </c>
      <c r="V91" s="345">
        <v>0</v>
      </c>
      <c r="W91" s="345">
        <v>0</v>
      </c>
      <c r="X91" s="345">
        <v>0</v>
      </c>
      <c r="Y91" s="380">
        <v>0</v>
      </c>
      <c r="Z91" s="296">
        <f t="shared" si="59"/>
        <v>0</v>
      </c>
      <c r="AA91" s="298">
        <f t="shared" si="60"/>
        <v>0</v>
      </c>
      <c r="AB91" s="948">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49">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6">
        <f t="shared" si="61"/>
        <v>0</v>
      </c>
      <c r="AE91" s="1230">
        <f>SUMPRODUCT($B$74:$L$74,B91:L91)</f>
        <v>0</v>
      </c>
      <c r="AF91" s="1231">
        <f>SUMPRODUCT($O$74:$Y$74,O91:Y91)</f>
        <v>0</v>
      </c>
      <c r="AG91" s="1231">
        <f>SUM(AE91:AF91)</f>
        <v>0</v>
      </c>
      <c r="AH91" s="1172">
        <f t="shared" si="62"/>
        <v>0</v>
      </c>
      <c r="AI91" s="1232">
        <f t="shared" si="63"/>
        <v>0</v>
      </c>
      <c r="AJ91" s="227"/>
      <c r="AK91" s="540"/>
      <c r="AL91" s="540"/>
      <c r="AM91" s="540"/>
    </row>
    <row r="92" spans="1:39" x14ac:dyDescent="0.2">
      <c r="A92" s="330">
        <v>2023</v>
      </c>
      <c r="B92" s="344">
        <v>0</v>
      </c>
      <c r="C92" s="345">
        <v>0</v>
      </c>
      <c r="D92" s="345">
        <v>0</v>
      </c>
      <c r="E92" s="345">
        <v>0</v>
      </c>
      <c r="F92" s="345">
        <v>0</v>
      </c>
      <c r="G92" s="345">
        <v>0</v>
      </c>
      <c r="H92" s="345">
        <v>0</v>
      </c>
      <c r="I92" s="345">
        <v>0</v>
      </c>
      <c r="J92" s="345">
        <v>0</v>
      </c>
      <c r="K92" s="345">
        <v>0</v>
      </c>
      <c r="L92" s="380">
        <v>0</v>
      </c>
      <c r="M92" s="296">
        <f t="shared" si="57"/>
        <v>0</v>
      </c>
      <c r="N92" s="298">
        <f t="shared" si="58"/>
        <v>0</v>
      </c>
      <c r="O92" s="344">
        <v>0</v>
      </c>
      <c r="P92" s="345">
        <v>0</v>
      </c>
      <c r="Q92" s="345">
        <v>0</v>
      </c>
      <c r="R92" s="345">
        <v>0</v>
      </c>
      <c r="S92" s="345">
        <v>0</v>
      </c>
      <c r="T92" s="345">
        <v>0</v>
      </c>
      <c r="U92" s="345">
        <v>0</v>
      </c>
      <c r="V92" s="345">
        <v>0</v>
      </c>
      <c r="W92" s="345">
        <v>0</v>
      </c>
      <c r="X92" s="345">
        <v>0</v>
      </c>
      <c r="Y92" s="380">
        <v>0</v>
      </c>
      <c r="Z92" s="296">
        <f t="shared" si="59"/>
        <v>0</v>
      </c>
      <c r="AA92" s="298">
        <f t="shared" si="60"/>
        <v>0</v>
      </c>
      <c r="AB92" s="948">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49">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6">
        <f t="shared" si="61"/>
        <v>0</v>
      </c>
      <c r="AE92" s="1230">
        <f t="shared" ref="AE92:AE119" si="64">SUMPRODUCT($B$74:$L$74,B92:L92)</f>
        <v>0</v>
      </c>
      <c r="AF92" s="1231">
        <f t="shared" ref="AF92:AF119" si="65">SUMPRODUCT($O$74:$Y$74,O92:Y92)</f>
        <v>0</v>
      </c>
      <c r="AG92" s="1231">
        <f t="shared" ref="AG92:AG119" si="66">SUM(AE92:AF92)</f>
        <v>0</v>
      </c>
      <c r="AH92" s="1172">
        <f t="shared" si="62"/>
        <v>0</v>
      </c>
      <c r="AI92" s="1232">
        <f t="shared" si="63"/>
        <v>0</v>
      </c>
      <c r="AJ92" s="227"/>
      <c r="AK92" s="540"/>
      <c r="AL92" s="540"/>
      <c r="AM92" s="540"/>
    </row>
    <row r="93" spans="1:39" x14ac:dyDescent="0.2">
      <c r="A93" s="330">
        <v>2024</v>
      </c>
      <c r="B93" s="344">
        <v>0</v>
      </c>
      <c r="C93" s="345">
        <v>0</v>
      </c>
      <c r="D93" s="345">
        <v>0</v>
      </c>
      <c r="E93" s="345">
        <v>0</v>
      </c>
      <c r="F93" s="345">
        <v>0</v>
      </c>
      <c r="G93" s="345">
        <v>0</v>
      </c>
      <c r="H93" s="345">
        <v>0</v>
      </c>
      <c r="I93" s="345">
        <v>0</v>
      </c>
      <c r="J93" s="345">
        <v>0</v>
      </c>
      <c r="K93" s="345">
        <v>0</v>
      </c>
      <c r="L93" s="380">
        <v>0</v>
      </c>
      <c r="M93" s="296">
        <f t="shared" si="57"/>
        <v>0</v>
      </c>
      <c r="N93" s="298">
        <f t="shared" si="58"/>
        <v>0</v>
      </c>
      <c r="O93" s="344">
        <v>0</v>
      </c>
      <c r="P93" s="345">
        <v>0</v>
      </c>
      <c r="Q93" s="345">
        <v>0</v>
      </c>
      <c r="R93" s="345">
        <v>0</v>
      </c>
      <c r="S93" s="345">
        <v>0</v>
      </c>
      <c r="T93" s="345">
        <v>0</v>
      </c>
      <c r="U93" s="345">
        <v>0</v>
      </c>
      <c r="V93" s="345">
        <v>0</v>
      </c>
      <c r="W93" s="345">
        <v>0</v>
      </c>
      <c r="X93" s="345">
        <v>0</v>
      </c>
      <c r="Y93" s="380">
        <v>0</v>
      </c>
      <c r="Z93" s="296">
        <f t="shared" si="59"/>
        <v>0</v>
      </c>
      <c r="AA93" s="298">
        <f t="shared" si="60"/>
        <v>0</v>
      </c>
      <c r="AB93" s="948">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49">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6">
        <f t="shared" si="61"/>
        <v>0</v>
      </c>
      <c r="AE93" s="1230">
        <f t="shared" si="64"/>
        <v>0</v>
      </c>
      <c r="AF93" s="1231">
        <f t="shared" si="65"/>
        <v>0</v>
      </c>
      <c r="AG93" s="1231">
        <f t="shared" si="66"/>
        <v>0</v>
      </c>
      <c r="AH93" s="1172">
        <f t="shared" si="62"/>
        <v>0</v>
      </c>
      <c r="AI93" s="1232">
        <f t="shared" si="63"/>
        <v>0</v>
      </c>
      <c r="AJ93" s="227"/>
      <c r="AK93" s="540"/>
      <c r="AL93" s="540"/>
      <c r="AM93" s="540"/>
    </row>
    <row r="94" spans="1:39" ht="13.5" thickBot="1" x14ac:dyDescent="0.25">
      <c r="A94" s="328">
        <v>2025</v>
      </c>
      <c r="B94" s="346">
        <v>0</v>
      </c>
      <c r="C94" s="347">
        <v>0</v>
      </c>
      <c r="D94" s="347">
        <v>0</v>
      </c>
      <c r="E94" s="347">
        <v>0</v>
      </c>
      <c r="F94" s="347">
        <v>0</v>
      </c>
      <c r="G94" s="347">
        <v>0</v>
      </c>
      <c r="H94" s="347">
        <v>0</v>
      </c>
      <c r="I94" s="347">
        <v>0</v>
      </c>
      <c r="J94" s="347">
        <v>0</v>
      </c>
      <c r="K94" s="347">
        <v>0</v>
      </c>
      <c r="L94" s="381">
        <v>0</v>
      </c>
      <c r="M94" s="310">
        <f t="shared" si="57"/>
        <v>0</v>
      </c>
      <c r="N94" s="312">
        <f t="shared" si="58"/>
        <v>0</v>
      </c>
      <c r="O94" s="346">
        <v>0</v>
      </c>
      <c r="P94" s="347">
        <v>0</v>
      </c>
      <c r="Q94" s="347">
        <v>0</v>
      </c>
      <c r="R94" s="347">
        <v>0</v>
      </c>
      <c r="S94" s="347">
        <v>0</v>
      </c>
      <c r="T94" s="347">
        <v>0</v>
      </c>
      <c r="U94" s="347">
        <v>0</v>
      </c>
      <c r="V94" s="347">
        <v>0</v>
      </c>
      <c r="W94" s="347">
        <v>0</v>
      </c>
      <c r="X94" s="347">
        <v>0</v>
      </c>
      <c r="Y94" s="381">
        <v>0</v>
      </c>
      <c r="Z94" s="310">
        <f t="shared" si="59"/>
        <v>0</v>
      </c>
      <c r="AA94" s="312">
        <f t="shared" si="60"/>
        <v>0</v>
      </c>
      <c r="AB94" s="948">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49">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6">
        <f t="shared" si="61"/>
        <v>0</v>
      </c>
      <c r="AE94" s="1230">
        <f t="shared" si="64"/>
        <v>0</v>
      </c>
      <c r="AF94" s="1231">
        <f t="shared" si="65"/>
        <v>0</v>
      </c>
      <c r="AG94" s="1231">
        <f t="shared" si="66"/>
        <v>0</v>
      </c>
      <c r="AH94" s="1172">
        <f t="shared" si="62"/>
        <v>0</v>
      </c>
      <c r="AI94" s="1232">
        <f t="shared" si="63"/>
        <v>0</v>
      </c>
      <c r="AJ94" s="227"/>
      <c r="AK94" s="540"/>
      <c r="AL94" s="540"/>
      <c r="AM94" s="540"/>
    </row>
    <row r="95" spans="1:39" x14ac:dyDescent="0.2">
      <c r="A95" s="329">
        <v>2026</v>
      </c>
      <c r="B95" s="342">
        <v>3.57157123878344E-2</v>
      </c>
      <c r="C95" s="343">
        <v>2.724103296321731E-2</v>
      </c>
      <c r="D95" s="343">
        <v>2.4566442684821201E-2</v>
      </c>
      <c r="E95" s="343">
        <v>2.3901439680089696E-2</v>
      </c>
      <c r="F95" s="343">
        <v>2.386257555223659E-2</v>
      </c>
      <c r="G95" s="343">
        <v>2.386257555223659E-2</v>
      </c>
      <c r="H95" s="343">
        <v>2.386257555223659E-2</v>
      </c>
      <c r="I95" s="343">
        <v>2.386257555223659E-2</v>
      </c>
      <c r="J95" s="343">
        <v>2.386257555223659E-2</v>
      </c>
      <c r="K95" s="343">
        <v>2.386257555223659E-2</v>
      </c>
      <c r="L95" s="379">
        <v>2.386257555223659E-2</v>
      </c>
      <c r="M95" s="282">
        <f t="shared" si="57"/>
        <v>1.0983922573020432E-2</v>
      </c>
      <c r="N95" s="284">
        <f t="shared" si="58"/>
        <v>1.165448943239226E-2</v>
      </c>
      <c r="O95" s="342">
        <v>3.648585666417619E-2</v>
      </c>
      <c r="P95" s="343">
        <v>2.6756926168707822E-2</v>
      </c>
      <c r="Q95" s="343">
        <v>2.4333715668596073E-2</v>
      </c>
      <c r="R95" s="343">
        <v>2.3901439680089696E-2</v>
      </c>
      <c r="S95" s="343">
        <v>2.386257555223659E-2</v>
      </c>
      <c r="T95" s="343">
        <v>2.386257555223659E-2</v>
      </c>
      <c r="U95" s="343">
        <v>2.386257555223659E-2</v>
      </c>
      <c r="V95" s="343">
        <v>2.386257555223659E-2</v>
      </c>
      <c r="W95" s="343">
        <v>2.386257555223659E-2</v>
      </c>
      <c r="X95" s="343">
        <v>2.386257555223659E-2</v>
      </c>
      <c r="Y95" s="379">
        <v>2.386257555223659E-2</v>
      </c>
      <c r="Z95" s="282">
        <f t="shared" si="59"/>
        <v>1.6605856870580287E-2</v>
      </c>
      <c r="AA95" s="284">
        <f t="shared" si="60"/>
        <v>1.8890494850236153E-2</v>
      </c>
      <c r="AB95" s="948">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49">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6">
        <f t="shared" si="61"/>
        <v>0</v>
      </c>
      <c r="AE95" s="1230">
        <f t="shared" si="64"/>
        <v>1.0983922573020432E-2</v>
      </c>
      <c r="AF95" s="1231">
        <f t="shared" si="65"/>
        <v>1.6605856870580287E-2</v>
      </c>
      <c r="AG95" s="1231">
        <f t="shared" si="66"/>
        <v>2.758977944360072E-2</v>
      </c>
      <c r="AH95" s="1172">
        <f t="shared" si="62"/>
        <v>0.39811563537410172</v>
      </c>
      <c r="AI95" s="1232">
        <f t="shared" si="63"/>
        <v>0.60188436462589823</v>
      </c>
      <c r="AJ95" s="227"/>
      <c r="AK95" s="540"/>
      <c r="AL95" s="540"/>
      <c r="AM95" s="540"/>
    </row>
    <row r="96" spans="1:39" x14ac:dyDescent="0.2">
      <c r="A96" s="330">
        <v>2027</v>
      </c>
      <c r="B96" s="344">
        <v>8.158746515821215E-2</v>
      </c>
      <c r="C96" s="345">
        <v>6.6897391587397867E-2</v>
      </c>
      <c r="D96" s="345">
        <v>6.1121931411709421E-2</v>
      </c>
      <c r="E96" s="345">
        <v>6.003540519831544E-2</v>
      </c>
      <c r="F96" s="345">
        <v>5.9937721454773565E-2</v>
      </c>
      <c r="G96" s="345">
        <v>5.9937721454773565E-2</v>
      </c>
      <c r="H96" s="345">
        <v>5.9937721454773565E-2</v>
      </c>
      <c r="I96" s="345">
        <v>5.9937721454773565E-2</v>
      </c>
      <c r="J96" s="345">
        <v>5.9937721454773565E-2</v>
      </c>
      <c r="K96" s="345">
        <v>5.9937721454773565E-2</v>
      </c>
      <c r="L96" s="380">
        <v>5.9937721454773565E-2</v>
      </c>
      <c r="M96" s="296">
        <f t="shared" si="57"/>
        <v>2.6703173076769306E-2</v>
      </c>
      <c r="N96" s="298">
        <f t="shared" si="58"/>
        <v>2.7688473212892889E-2</v>
      </c>
      <c r="O96" s="344">
        <v>8.2637809921030134E-2</v>
      </c>
      <c r="P96" s="345">
        <v>6.5763271957350086E-2</v>
      </c>
      <c r="Q96" s="345">
        <v>6.1121931411709421E-2</v>
      </c>
      <c r="R96" s="345">
        <v>6.003540519831544E-2</v>
      </c>
      <c r="S96" s="345">
        <v>5.9937721454773565E-2</v>
      </c>
      <c r="T96" s="345">
        <v>5.9937721454773565E-2</v>
      </c>
      <c r="U96" s="345">
        <v>5.9937721454773565E-2</v>
      </c>
      <c r="V96" s="345">
        <v>5.9937721454773565E-2</v>
      </c>
      <c r="W96" s="345">
        <v>5.9937721454773565E-2</v>
      </c>
      <c r="X96" s="345">
        <v>5.9937721454773565E-2</v>
      </c>
      <c r="Y96" s="380">
        <v>5.9937721454773565E-2</v>
      </c>
      <c r="Z96" s="296">
        <f t="shared" si="59"/>
        <v>4.028650457009423E-2</v>
      </c>
      <c r="AA96" s="298">
        <f t="shared" si="60"/>
        <v>4.4617972358480244E-2</v>
      </c>
      <c r="AB96" s="948">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49">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6">
        <f t="shared" si="61"/>
        <v>0</v>
      </c>
      <c r="AE96" s="1230">
        <f t="shared" si="64"/>
        <v>2.6703173076769306E-2</v>
      </c>
      <c r="AF96" s="1231">
        <f t="shared" si="65"/>
        <v>4.028650457009423E-2</v>
      </c>
      <c r="AG96" s="1231">
        <f t="shared" si="66"/>
        <v>6.6989677646863532E-2</v>
      </c>
      <c r="AH96" s="1172">
        <f t="shared" si="62"/>
        <v>0.39861623484046654</v>
      </c>
      <c r="AI96" s="1232">
        <f t="shared" si="63"/>
        <v>0.60138376515953351</v>
      </c>
      <c r="AJ96" s="227"/>
      <c r="AK96" s="540"/>
      <c r="AL96" s="540"/>
      <c r="AM96" s="540"/>
    </row>
    <row r="97" spans="1:39" x14ac:dyDescent="0.2">
      <c r="A97" s="330">
        <v>2028</v>
      </c>
      <c r="B97" s="344">
        <v>1.6321066789922168E-3</v>
      </c>
      <c r="C97" s="345">
        <v>8.3426494976615417E-2</v>
      </c>
      <c r="D97" s="345">
        <v>0.12001954054592442</v>
      </c>
      <c r="E97" s="345">
        <v>0.13074703315170441</v>
      </c>
      <c r="F97" s="345">
        <v>0.13295730611792442</v>
      </c>
      <c r="G97" s="345">
        <v>0.13458867655332063</v>
      </c>
      <c r="H97" s="345">
        <v>0.13525091366421305</v>
      </c>
      <c r="I97" s="345">
        <v>0.13525091366421305</v>
      </c>
      <c r="J97" s="345">
        <v>0.13525091366421305</v>
      </c>
      <c r="K97" s="345">
        <v>0.13525091366421305</v>
      </c>
      <c r="L97" s="380">
        <v>0.13525091366421305</v>
      </c>
      <c r="M97" s="296">
        <f t="shared" si="57"/>
        <v>3.4657736000058011E-2</v>
      </c>
      <c r="N97" s="298">
        <f t="shared" si="58"/>
        <v>2.1826048599314717E-2</v>
      </c>
      <c r="O97" s="344">
        <v>1.2065827971319222E-3</v>
      </c>
      <c r="P97" s="345">
        <v>8.7873271109649861E-2</v>
      </c>
      <c r="Q97" s="345">
        <v>0.12209960128948917</v>
      </c>
      <c r="R97" s="345">
        <v>0.13181010197528645</v>
      </c>
      <c r="S97" s="345">
        <v>0.13295730611792442</v>
      </c>
      <c r="T97" s="345">
        <v>0.13525091366421305</v>
      </c>
      <c r="U97" s="345">
        <v>0.13525091366421305</v>
      </c>
      <c r="V97" s="345">
        <v>0.13525091366421305</v>
      </c>
      <c r="W97" s="345">
        <v>0.13525091366421305</v>
      </c>
      <c r="X97" s="345">
        <v>0.13525091366421305</v>
      </c>
      <c r="Y97" s="380">
        <v>0.13522973615850267</v>
      </c>
      <c r="Z97" s="296">
        <f t="shared" si="59"/>
        <v>5.1718935323170352E-2</v>
      </c>
      <c r="AA97" s="298">
        <f t="shared" si="60"/>
        <v>3.3726759481111382E-2</v>
      </c>
      <c r="AB97" s="948">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49">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6">
        <f t="shared" si="61"/>
        <v>0</v>
      </c>
      <c r="AE97" s="1230">
        <f t="shared" si="64"/>
        <v>3.4657736000058011E-2</v>
      </c>
      <c r="AF97" s="1231">
        <f t="shared" si="65"/>
        <v>5.1718935323170352E-2</v>
      </c>
      <c r="AG97" s="1231">
        <f t="shared" si="66"/>
        <v>8.6376671323228363E-2</v>
      </c>
      <c r="AH97" s="1172">
        <f t="shared" si="62"/>
        <v>0.40123954152349783</v>
      </c>
      <c r="AI97" s="1232">
        <f t="shared" si="63"/>
        <v>0.59876045847650217</v>
      </c>
      <c r="AJ97" s="227"/>
      <c r="AK97" s="540"/>
      <c r="AL97" s="540"/>
      <c r="AM97" s="540"/>
    </row>
    <row r="98" spans="1:39" x14ac:dyDescent="0.2">
      <c r="A98" s="330">
        <v>2029</v>
      </c>
      <c r="B98" s="344">
        <v>0</v>
      </c>
      <c r="C98" s="345">
        <v>2.1212947130329049E-2</v>
      </c>
      <c r="D98" s="345">
        <v>0.13880373873554883</v>
      </c>
      <c r="E98" s="345">
        <v>0.20738306371200113</v>
      </c>
      <c r="F98" s="345">
        <v>0.22281376473431486</v>
      </c>
      <c r="G98" s="345">
        <v>0.23483498367900918</v>
      </c>
      <c r="H98" s="345">
        <v>0.24334856919907261</v>
      </c>
      <c r="I98" s="345">
        <v>0.24533011341450647</v>
      </c>
      <c r="J98" s="345">
        <v>0.24713382400351389</v>
      </c>
      <c r="K98" s="345">
        <v>0.25016597851861549</v>
      </c>
      <c r="L98" s="380">
        <v>0.25016597851861549</v>
      </c>
      <c r="M98" s="296">
        <f t="shared" si="57"/>
        <v>3.4283591822484319E-2</v>
      </c>
      <c r="N98" s="298">
        <f t="shared" si="58"/>
        <v>1.6033217636896198E-2</v>
      </c>
      <c r="O98" s="344">
        <v>0</v>
      </c>
      <c r="P98" s="345">
        <v>2.6721554309018861E-2</v>
      </c>
      <c r="Q98" s="345">
        <v>0.15378063013233556</v>
      </c>
      <c r="R98" s="345">
        <v>0.21273824813784531</v>
      </c>
      <c r="S98" s="345">
        <v>0.22718687795278178</v>
      </c>
      <c r="T98" s="345">
        <v>0.23808238049146285</v>
      </c>
      <c r="U98" s="345">
        <v>0.24334856919907261</v>
      </c>
      <c r="V98" s="345">
        <v>0.24533011341450647</v>
      </c>
      <c r="W98" s="345">
        <v>0.25015307200866782</v>
      </c>
      <c r="X98" s="345">
        <v>0.25011212301018265</v>
      </c>
      <c r="Y98" s="380">
        <v>0.25098098303644467</v>
      </c>
      <c r="Z98" s="296">
        <f t="shared" si="59"/>
        <v>5.018103110423916E-2</v>
      </c>
      <c r="AA98" s="298">
        <f t="shared" si="60"/>
        <v>2.2752579700018479E-2</v>
      </c>
      <c r="AB98" s="948">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49">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6">
        <f t="shared" si="61"/>
        <v>0</v>
      </c>
      <c r="AE98" s="1230">
        <f t="shared" si="64"/>
        <v>3.4283591822484319E-2</v>
      </c>
      <c r="AF98" s="1231">
        <f t="shared" si="65"/>
        <v>5.018103110423916E-2</v>
      </c>
      <c r="AG98" s="1231">
        <f t="shared" si="66"/>
        <v>8.4464622926723479E-2</v>
      </c>
      <c r="AH98" s="1172">
        <f t="shared" si="62"/>
        <v>0.40589291273136613</v>
      </c>
      <c r="AI98" s="1232">
        <f t="shared" si="63"/>
        <v>0.59410708726863393</v>
      </c>
      <c r="AJ98" s="227"/>
      <c r="AK98" s="540"/>
      <c r="AL98" s="540"/>
      <c r="AM98" s="540"/>
    </row>
    <row r="99" spans="1:39" ht="13.5" thickBot="1" x14ac:dyDescent="0.25">
      <c r="A99" s="328">
        <v>2030</v>
      </c>
      <c r="B99" s="346">
        <v>0</v>
      </c>
      <c r="C99" s="347">
        <v>0</v>
      </c>
      <c r="D99" s="347">
        <v>1.4699295019569028E-2</v>
      </c>
      <c r="E99" s="347">
        <v>0.13323928584363762</v>
      </c>
      <c r="F99" s="347">
        <v>0.20640753620782573</v>
      </c>
      <c r="G99" s="347">
        <v>0.25827882031507243</v>
      </c>
      <c r="H99" s="347">
        <v>0.31133872612592572</v>
      </c>
      <c r="I99" s="347">
        <v>0.32562138340416685</v>
      </c>
      <c r="J99" s="347">
        <v>0.33787398029470328</v>
      </c>
      <c r="K99" s="347">
        <v>0.34788107224991555</v>
      </c>
      <c r="L99" s="381">
        <v>0.34788107224991555</v>
      </c>
      <c r="M99" s="310">
        <f t="shared" si="57"/>
        <v>1.7714244358233593E-2</v>
      </c>
      <c r="N99" s="312">
        <f t="shared" si="58"/>
        <v>5.5725738651744702E-3</v>
      </c>
      <c r="O99" s="346">
        <v>0</v>
      </c>
      <c r="P99" s="347">
        <v>0</v>
      </c>
      <c r="Q99" s="347">
        <v>2.7853128265245365E-2</v>
      </c>
      <c r="R99" s="347">
        <v>0.15345127161433089</v>
      </c>
      <c r="S99" s="347">
        <v>0.22761758937974305</v>
      </c>
      <c r="T99" s="347">
        <v>0.27743459986599939</v>
      </c>
      <c r="U99" s="347">
        <v>0.31133872612592572</v>
      </c>
      <c r="V99" s="347">
        <v>0.33193813407571132</v>
      </c>
      <c r="W99" s="347">
        <v>0.34268277275155012</v>
      </c>
      <c r="X99" s="347">
        <v>0.34675469766412786</v>
      </c>
      <c r="Y99" s="381">
        <v>0.35158553045908114</v>
      </c>
      <c r="Z99" s="310">
        <f t="shared" si="59"/>
        <v>3.2877785605975776E-2</v>
      </c>
      <c r="AA99" s="312">
        <f t="shared" si="60"/>
        <v>9.4752214510113331E-3</v>
      </c>
      <c r="AB99" s="948">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49">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6">
        <f t="shared" si="61"/>
        <v>0</v>
      </c>
      <c r="AE99" s="1230">
        <f t="shared" si="64"/>
        <v>1.7714244358233593E-2</v>
      </c>
      <c r="AF99" s="1231">
        <f t="shared" si="65"/>
        <v>3.2877785605975776E-2</v>
      </c>
      <c r="AG99" s="1231">
        <f t="shared" si="66"/>
        <v>5.0592029964209369E-2</v>
      </c>
      <c r="AH99" s="1172">
        <f t="shared" si="62"/>
        <v>0.35013903120245005</v>
      </c>
      <c r="AI99" s="1232">
        <f t="shared" si="63"/>
        <v>0.64986096879754995</v>
      </c>
      <c r="AJ99" s="227"/>
      <c r="AK99" s="540"/>
      <c r="AL99" s="540"/>
      <c r="AM99" s="540"/>
    </row>
    <row r="100" spans="1:39" x14ac:dyDescent="0.2">
      <c r="A100" s="329">
        <v>2031</v>
      </c>
      <c r="B100" s="342">
        <v>0</v>
      </c>
      <c r="C100" s="343">
        <v>0</v>
      </c>
      <c r="D100" s="343">
        <v>0</v>
      </c>
      <c r="E100" s="343">
        <v>0</v>
      </c>
      <c r="F100" s="343">
        <v>6.4017107428746944E-4</v>
      </c>
      <c r="G100" s="343">
        <v>6.5300922978402242E-3</v>
      </c>
      <c r="H100" s="343">
        <v>6.6164045502914479E-2</v>
      </c>
      <c r="I100" s="343">
        <v>0.10727261684451568</v>
      </c>
      <c r="J100" s="343">
        <v>0.16079038073132321</v>
      </c>
      <c r="K100" s="343">
        <v>0.23527779069269711</v>
      </c>
      <c r="L100" s="379">
        <v>0.23527779069269711</v>
      </c>
      <c r="M100" s="282">
        <f t="shared" si="57"/>
        <v>1.8686778769162525E-3</v>
      </c>
      <c r="N100" s="284">
        <f t="shared" si="58"/>
        <v>3.2163406760444006E-4</v>
      </c>
      <c r="O100" s="342">
        <v>0</v>
      </c>
      <c r="P100" s="343">
        <v>0</v>
      </c>
      <c r="Q100" s="343">
        <v>0</v>
      </c>
      <c r="R100" s="343">
        <v>0</v>
      </c>
      <c r="S100" s="343">
        <v>1.5385251714209267E-3</v>
      </c>
      <c r="T100" s="343">
        <v>1.5480093675768572E-2</v>
      </c>
      <c r="U100" s="343">
        <v>6.6150623449891921E-2</v>
      </c>
      <c r="V100" s="343">
        <v>0.137818878332263</v>
      </c>
      <c r="W100" s="343">
        <v>0.19601203334961501</v>
      </c>
      <c r="X100" s="343">
        <v>0.23278901093995014</v>
      </c>
      <c r="Y100" s="379">
        <v>0.29102151559956801</v>
      </c>
      <c r="Z100" s="282">
        <f t="shared" si="59"/>
        <v>5.3240633031329393E-3</v>
      </c>
      <c r="AA100" s="284">
        <f t="shared" si="60"/>
        <v>9.810831429744025E-4</v>
      </c>
      <c r="AB100" s="948">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49">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6">
        <f t="shared" si="61"/>
        <v>0</v>
      </c>
      <c r="AE100" s="1230">
        <f t="shared" si="64"/>
        <v>1.8686778769162525E-3</v>
      </c>
      <c r="AF100" s="1231">
        <f t="shared" si="65"/>
        <v>5.3240633031329393E-3</v>
      </c>
      <c r="AG100" s="1231">
        <f t="shared" si="66"/>
        <v>7.1927411800491916E-3</v>
      </c>
      <c r="AH100" s="1172">
        <f t="shared" si="62"/>
        <v>0.25980051695721834</v>
      </c>
      <c r="AI100" s="1232">
        <f t="shared" si="63"/>
        <v>0.74019948304278171</v>
      </c>
      <c r="AJ100" s="227"/>
      <c r="AK100" s="540"/>
      <c r="AL100" s="540"/>
      <c r="AM100" s="540"/>
    </row>
    <row r="101" spans="1:39" x14ac:dyDescent="0.2">
      <c r="A101" s="330">
        <v>2032</v>
      </c>
      <c r="B101" s="344">
        <v>0</v>
      </c>
      <c r="C101" s="345">
        <v>0</v>
      </c>
      <c r="D101" s="345">
        <v>0</v>
      </c>
      <c r="E101" s="345">
        <v>0</v>
      </c>
      <c r="F101" s="345">
        <v>4.4468325645929639E-3</v>
      </c>
      <c r="G101" s="345">
        <v>2.4946646917602913E-2</v>
      </c>
      <c r="H101" s="345">
        <v>0.1265669343858184</v>
      </c>
      <c r="I101" s="345">
        <v>0.17381191757571962</v>
      </c>
      <c r="J101" s="345">
        <v>0.24048905133737855</v>
      </c>
      <c r="K101" s="345">
        <v>0.30743856440207995</v>
      </c>
      <c r="L101" s="380">
        <v>0.30743856440207995</v>
      </c>
      <c r="M101" s="296">
        <f t="shared" si="57"/>
        <v>3.1192637714004155E-3</v>
      </c>
      <c r="N101" s="298">
        <f t="shared" si="58"/>
        <v>5.6590935717982605E-4</v>
      </c>
      <c r="O101" s="344">
        <v>0</v>
      </c>
      <c r="P101" s="345">
        <v>0</v>
      </c>
      <c r="Q101" s="345">
        <v>0</v>
      </c>
      <c r="R101" s="345">
        <v>3.9915041355420268E-4</v>
      </c>
      <c r="S101" s="345">
        <v>8.2007309188847702E-3</v>
      </c>
      <c r="T101" s="345">
        <v>4.6052878446057995E-2</v>
      </c>
      <c r="U101" s="345">
        <v>0.12638695480307938</v>
      </c>
      <c r="V101" s="345">
        <v>0.19847986412977298</v>
      </c>
      <c r="W101" s="345">
        <v>0.26400566314270585</v>
      </c>
      <c r="X101" s="345">
        <v>0.30204790439725998</v>
      </c>
      <c r="Y101" s="380">
        <v>0.34501965680418234</v>
      </c>
      <c r="Z101" s="296">
        <f t="shared" si="59"/>
        <v>8.5501418117467139E-3</v>
      </c>
      <c r="AA101" s="298">
        <f t="shared" si="60"/>
        <v>1.6321492299988035E-3</v>
      </c>
      <c r="AB101" s="948">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49">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6">
        <f t="shared" si="61"/>
        <v>0</v>
      </c>
      <c r="AE101" s="1230">
        <f t="shared" si="64"/>
        <v>3.1192637714004155E-3</v>
      </c>
      <c r="AF101" s="1231">
        <f t="shared" si="65"/>
        <v>8.5501418117467139E-3</v>
      </c>
      <c r="AG101" s="1231">
        <f t="shared" si="66"/>
        <v>1.1669405583147129E-2</v>
      </c>
      <c r="AH101" s="1172">
        <f t="shared" si="62"/>
        <v>0.26730271299381642</v>
      </c>
      <c r="AI101" s="1232">
        <f t="shared" si="63"/>
        <v>0.73269728700618364</v>
      </c>
      <c r="AJ101" s="227"/>
      <c r="AK101" s="540"/>
      <c r="AL101" s="540"/>
      <c r="AM101" s="540"/>
    </row>
    <row r="102" spans="1:39" x14ac:dyDescent="0.2">
      <c r="A102" s="330">
        <v>2033</v>
      </c>
      <c r="B102" s="344">
        <v>0</v>
      </c>
      <c r="C102" s="345">
        <v>0</v>
      </c>
      <c r="D102" s="345">
        <v>0</v>
      </c>
      <c r="E102" s="345">
        <v>0</v>
      </c>
      <c r="F102" s="345">
        <v>3.3311906934295984E-3</v>
      </c>
      <c r="G102" s="345">
        <v>1.9757873086077841E-2</v>
      </c>
      <c r="H102" s="345">
        <v>0.11943088255999877</v>
      </c>
      <c r="I102" s="345">
        <v>0.16576413286002079</v>
      </c>
      <c r="J102" s="345">
        <v>0.23162250943911378</v>
      </c>
      <c r="K102" s="345">
        <v>0.29820568614096959</v>
      </c>
      <c r="L102" s="380">
        <v>0.29820568614096959</v>
      </c>
      <c r="M102" s="296">
        <f t="shared" si="57"/>
        <v>2.9534205985427709E-3</v>
      </c>
      <c r="N102" s="298">
        <f t="shared" si="58"/>
        <v>5.3192730771179741E-4</v>
      </c>
      <c r="O102" s="344">
        <v>0</v>
      </c>
      <c r="P102" s="345">
        <v>0</v>
      </c>
      <c r="Q102" s="345">
        <v>0</v>
      </c>
      <c r="R102" s="345">
        <v>2.8219953756076837E-4</v>
      </c>
      <c r="S102" s="345">
        <v>7.2783983143922641E-3</v>
      </c>
      <c r="T102" s="345">
        <v>4.2186554315719216E-2</v>
      </c>
      <c r="U102" s="345">
        <v>0.11878248039878926</v>
      </c>
      <c r="V102" s="345">
        <v>0.20201687197864404</v>
      </c>
      <c r="W102" s="345">
        <v>0.26679226542891793</v>
      </c>
      <c r="X102" s="345">
        <v>0.29130416482208177</v>
      </c>
      <c r="Y102" s="380">
        <v>0.34737882488079264</v>
      </c>
      <c r="Z102" s="296">
        <f t="shared" si="59"/>
        <v>8.4163589893042016E-3</v>
      </c>
      <c r="AA102" s="298">
        <f t="shared" si="60"/>
        <v>1.5966376529904572E-3</v>
      </c>
      <c r="AB102" s="948">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49">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6">
        <f>AB102*AH102+AC102*AI102</f>
        <v>0</v>
      </c>
      <c r="AE102" s="1230">
        <f t="shared" si="64"/>
        <v>2.9534205985427709E-3</v>
      </c>
      <c r="AF102" s="1231">
        <f t="shared" si="65"/>
        <v>8.4163589893042016E-3</v>
      </c>
      <c r="AG102" s="1231">
        <f t="shared" si="66"/>
        <v>1.1369779587846972E-2</v>
      </c>
      <c r="AH102" s="1172">
        <f t="shared" si="62"/>
        <v>0.25976058513039674</v>
      </c>
      <c r="AI102" s="1232">
        <f t="shared" si="63"/>
        <v>0.74023941486960321</v>
      </c>
      <c r="AJ102" s="227"/>
      <c r="AK102" s="540"/>
      <c r="AL102" s="540"/>
      <c r="AM102" s="540"/>
    </row>
    <row r="103" spans="1:39" x14ac:dyDescent="0.2">
      <c r="A103" s="330">
        <v>2034</v>
      </c>
      <c r="B103" s="344">
        <v>0</v>
      </c>
      <c r="C103" s="345">
        <v>0</v>
      </c>
      <c r="D103" s="345">
        <v>0</v>
      </c>
      <c r="E103" s="345">
        <v>0</v>
      </c>
      <c r="F103" s="345">
        <v>7.2170503645656715E-4</v>
      </c>
      <c r="G103" s="345">
        <v>7.361221630216408E-3</v>
      </c>
      <c r="H103" s="345">
        <v>7.4292533834803554E-2</v>
      </c>
      <c r="I103" s="345">
        <v>0.11975363102692482</v>
      </c>
      <c r="J103" s="345">
        <v>0.17751311853776566</v>
      </c>
      <c r="K103" s="345">
        <v>0.25461383456442582</v>
      </c>
      <c r="L103" s="380">
        <v>0.25461383456442582</v>
      </c>
      <c r="M103" s="296">
        <f t="shared" si="57"/>
        <v>2.0628237144685426E-3</v>
      </c>
      <c r="N103" s="298">
        <f t="shared" si="58"/>
        <v>3.5633148060129312E-4</v>
      </c>
      <c r="O103" s="344">
        <v>0</v>
      </c>
      <c r="P103" s="345">
        <v>0</v>
      </c>
      <c r="Q103" s="345">
        <v>0</v>
      </c>
      <c r="R103" s="345">
        <v>0</v>
      </c>
      <c r="S103" s="345">
        <v>1.7341945530595167E-3</v>
      </c>
      <c r="T103" s="345">
        <v>1.9929622348390873E-2</v>
      </c>
      <c r="U103" s="345">
        <v>7.3479206865746702E-2</v>
      </c>
      <c r="V103" s="345">
        <v>0.15055315616378137</v>
      </c>
      <c r="W103" s="345">
        <v>0.21080563437450278</v>
      </c>
      <c r="X103" s="345">
        <v>0.24881696904118894</v>
      </c>
      <c r="Y103" s="380">
        <v>0.30757564310057356</v>
      </c>
      <c r="Z103" s="296">
        <f t="shared" si="59"/>
        <v>5.8528667170775735E-3</v>
      </c>
      <c r="AA103" s="298">
        <f t="shared" si="60"/>
        <v>1.082362162274823E-3</v>
      </c>
      <c r="AB103" s="948">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49">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6">
        <f t="shared" ref="AD103:AD119" si="67">AB103*AH103+AC103*AI103</f>
        <v>0</v>
      </c>
      <c r="AE103" s="1230">
        <f t="shared" si="64"/>
        <v>2.0628237144685426E-3</v>
      </c>
      <c r="AF103" s="1231">
        <f t="shared" si="65"/>
        <v>5.8528667170775735E-3</v>
      </c>
      <c r="AG103" s="1231">
        <f t="shared" si="66"/>
        <v>7.9156904315461161E-3</v>
      </c>
      <c r="AH103" s="1172">
        <f t="shared" si="62"/>
        <v>0.26059934156187381</v>
      </c>
      <c r="AI103" s="1232">
        <f t="shared" si="63"/>
        <v>0.73940065843812619</v>
      </c>
      <c r="AJ103" s="227"/>
      <c r="AK103" s="540"/>
      <c r="AL103" s="540"/>
      <c r="AM103" s="540"/>
    </row>
    <row r="104" spans="1:39" ht="13.5" thickBot="1" x14ac:dyDescent="0.25">
      <c r="A104" s="328">
        <v>2035</v>
      </c>
      <c r="B104" s="346">
        <v>0</v>
      </c>
      <c r="C104" s="347">
        <v>0</v>
      </c>
      <c r="D104" s="347">
        <v>0</v>
      </c>
      <c r="E104" s="347">
        <v>0</v>
      </c>
      <c r="F104" s="347">
        <v>0</v>
      </c>
      <c r="G104" s="347">
        <v>1.2335113733360913E-3</v>
      </c>
      <c r="H104" s="347">
        <v>3.3283414907248704E-2</v>
      </c>
      <c r="I104" s="347">
        <v>6.5943584857078602E-2</v>
      </c>
      <c r="J104" s="347">
        <v>0.11683043565641556</v>
      </c>
      <c r="K104" s="347">
        <v>0.19603629300610692</v>
      </c>
      <c r="L104" s="381">
        <v>0.19603629300610692</v>
      </c>
      <c r="M104" s="310">
        <f t="shared" si="57"/>
        <v>1.2204748644437226E-3</v>
      </c>
      <c r="N104" s="312">
        <f t="shared" si="58"/>
        <v>1.9869998006664111E-4</v>
      </c>
      <c r="O104" s="346">
        <v>0</v>
      </c>
      <c r="P104" s="347">
        <v>0</v>
      </c>
      <c r="Q104" s="347">
        <v>0</v>
      </c>
      <c r="R104" s="347">
        <v>0</v>
      </c>
      <c r="S104" s="347">
        <v>1.9490512912805297E-4</v>
      </c>
      <c r="T104" s="347">
        <v>4.6252094320013747E-3</v>
      </c>
      <c r="U104" s="347">
        <v>3.2716048321057532E-2</v>
      </c>
      <c r="V104" s="347">
        <v>8.6953089113120038E-2</v>
      </c>
      <c r="W104" s="347">
        <v>0.15580788641538665</v>
      </c>
      <c r="X104" s="347">
        <v>0.19143777268009946</v>
      </c>
      <c r="Y104" s="381">
        <v>0.25132743534475566</v>
      </c>
      <c r="Z104" s="310">
        <f t="shared" si="59"/>
        <v>3.2704783146483736E-3</v>
      </c>
      <c r="AA104" s="312">
        <f t="shared" si="60"/>
        <v>5.8572228719692618E-4</v>
      </c>
      <c r="AB104" s="948">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49">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6">
        <f t="shared" si="67"/>
        <v>0</v>
      </c>
      <c r="AE104" s="1230">
        <f t="shared" si="64"/>
        <v>1.2204748644437226E-3</v>
      </c>
      <c r="AF104" s="1231">
        <f t="shared" si="65"/>
        <v>3.2704783146483736E-3</v>
      </c>
      <c r="AG104" s="1231">
        <f t="shared" si="66"/>
        <v>4.490953179092096E-3</v>
      </c>
      <c r="AH104" s="1172">
        <f t="shared" si="62"/>
        <v>0.27176299012105426</v>
      </c>
      <c r="AI104" s="1232">
        <f t="shared" si="63"/>
        <v>0.7282370098789458</v>
      </c>
      <c r="AJ104" s="227"/>
      <c r="AK104" s="540"/>
      <c r="AL104" s="540"/>
      <c r="AM104" s="540"/>
    </row>
    <row r="105" spans="1:39" x14ac:dyDescent="0.2">
      <c r="A105" s="329">
        <v>2036</v>
      </c>
      <c r="B105" s="342">
        <v>0</v>
      </c>
      <c r="C105" s="343">
        <v>0</v>
      </c>
      <c r="D105" s="343">
        <v>0</v>
      </c>
      <c r="E105" s="343">
        <v>4.6634058093206216E-3</v>
      </c>
      <c r="F105" s="343">
        <v>3.8089188000186625E-2</v>
      </c>
      <c r="G105" s="343">
        <v>9.1590872319338323E-2</v>
      </c>
      <c r="H105" s="343">
        <v>0.23282364534868658</v>
      </c>
      <c r="I105" s="343">
        <v>0.27187657134011034</v>
      </c>
      <c r="J105" s="343">
        <v>0.32169475141331216</v>
      </c>
      <c r="K105" s="343">
        <v>0.3622070784153591</v>
      </c>
      <c r="L105" s="379">
        <v>0.3622070784153591</v>
      </c>
      <c r="M105" s="282">
        <f t="shared" si="57"/>
        <v>5.8460381888668983E-3</v>
      </c>
      <c r="N105" s="284">
        <f t="shared" si="58"/>
        <v>1.2220640365667437E-3</v>
      </c>
      <c r="O105" s="342">
        <v>0</v>
      </c>
      <c r="P105" s="343">
        <v>0</v>
      </c>
      <c r="Q105" s="343">
        <v>0</v>
      </c>
      <c r="R105" s="343">
        <v>8.5985814893454037E-3</v>
      </c>
      <c r="S105" s="343">
        <v>5.3983052616037856E-2</v>
      </c>
      <c r="T105" s="343">
        <v>0.1420582481954962</v>
      </c>
      <c r="U105" s="343">
        <v>0.22833209633071627</v>
      </c>
      <c r="V105" s="343">
        <v>0.29137257700636821</v>
      </c>
      <c r="W105" s="343">
        <v>0.33582121768158241</v>
      </c>
      <c r="X105" s="343">
        <v>0.35612791725046611</v>
      </c>
      <c r="Y105" s="379">
        <v>0.3802611358044421</v>
      </c>
      <c r="Z105" s="282">
        <f t="shared" si="59"/>
        <v>1.508414687078834E-2</v>
      </c>
      <c r="AA105" s="284">
        <f t="shared" si="60"/>
        <v>3.1315673595508852E-3</v>
      </c>
      <c r="AB105" s="948">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49">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6">
        <f t="shared" si="67"/>
        <v>0</v>
      </c>
      <c r="AE105" s="1230">
        <f t="shared" si="64"/>
        <v>5.8460381888668983E-3</v>
      </c>
      <c r="AF105" s="1231">
        <f t="shared" si="65"/>
        <v>1.508414687078834E-2</v>
      </c>
      <c r="AG105" s="1231">
        <f t="shared" si="66"/>
        <v>2.093018505965524E-2</v>
      </c>
      <c r="AH105" s="1172">
        <f t="shared" si="62"/>
        <v>0.27931134732944374</v>
      </c>
      <c r="AI105" s="1232">
        <f t="shared" si="63"/>
        <v>0.72068865267055626</v>
      </c>
      <c r="AJ105" s="227"/>
      <c r="AK105" s="540"/>
      <c r="AL105" s="540"/>
      <c r="AM105" s="540"/>
    </row>
    <row r="106" spans="1:39" x14ac:dyDescent="0.2">
      <c r="A106" s="330">
        <v>2037</v>
      </c>
      <c r="B106" s="344">
        <v>0</v>
      </c>
      <c r="C106" s="345">
        <v>0</v>
      </c>
      <c r="D106" s="345">
        <v>1.9547274416769134E-4</v>
      </c>
      <c r="E106" s="345">
        <v>3.3720732041140726E-2</v>
      </c>
      <c r="F106" s="345">
        <v>0.1215609461583468</v>
      </c>
      <c r="G106" s="345">
        <v>0.19458173549365976</v>
      </c>
      <c r="H106" s="345">
        <v>0.31419865616278669</v>
      </c>
      <c r="I106" s="345">
        <v>0.34933910239953286</v>
      </c>
      <c r="J106" s="345">
        <v>0.37727490471295283</v>
      </c>
      <c r="K106" s="345">
        <v>0.39827764101058771</v>
      </c>
      <c r="L106" s="380">
        <v>0.39827764101058771</v>
      </c>
      <c r="M106" s="296">
        <f t="shared" si="57"/>
        <v>1.0324119391810641E-2</v>
      </c>
      <c r="N106" s="298">
        <f t="shared" si="58"/>
        <v>2.5629815137457449E-3</v>
      </c>
      <c r="O106" s="344">
        <v>0</v>
      </c>
      <c r="P106" s="345">
        <v>0</v>
      </c>
      <c r="Q106" s="345">
        <v>7.263534730423425E-4</v>
      </c>
      <c r="R106" s="345">
        <v>5.413823055580487E-2</v>
      </c>
      <c r="S106" s="345">
        <v>0.14350863416880821</v>
      </c>
      <c r="T106" s="345">
        <v>0.24649120897179411</v>
      </c>
      <c r="U106" s="345">
        <v>0.32294585030713335</v>
      </c>
      <c r="V106" s="345">
        <v>0.35170176804765768</v>
      </c>
      <c r="W106" s="345">
        <v>0.37800378666432993</v>
      </c>
      <c r="X106" s="345">
        <v>0.39378698615736119</v>
      </c>
      <c r="Y106" s="380">
        <v>0.41022507883989695</v>
      </c>
      <c r="Z106" s="296">
        <f t="shared" si="59"/>
        <v>2.3784666908909395E-2</v>
      </c>
      <c r="AA106" s="298">
        <f t="shared" si="60"/>
        <v>5.590296982233906E-3</v>
      </c>
      <c r="AB106" s="948">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49">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6">
        <f t="shared" si="67"/>
        <v>0</v>
      </c>
      <c r="AE106" s="1230">
        <f t="shared" si="64"/>
        <v>1.0324119391810641E-2</v>
      </c>
      <c r="AF106" s="1231">
        <f t="shared" si="65"/>
        <v>2.3784666908909395E-2</v>
      </c>
      <c r="AG106" s="1231">
        <f t="shared" si="66"/>
        <v>3.4108786300720034E-2</v>
      </c>
      <c r="AH106" s="1172">
        <f t="shared" si="62"/>
        <v>0.30268210955347596</v>
      </c>
      <c r="AI106" s="1232">
        <f t="shared" si="63"/>
        <v>0.69731789044652415</v>
      </c>
      <c r="AJ106" s="227"/>
      <c r="AK106" s="540"/>
      <c r="AL106" s="540"/>
      <c r="AM106" s="540"/>
    </row>
    <row r="107" spans="1:39" x14ac:dyDescent="0.2">
      <c r="A107" s="330">
        <v>2038</v>
      </c>
      <c r="B107" s="344">
        <v>0</v>
      </c>
      <c r="C107" s="345">
        <v>0</v>
      </c>
      <c r="D107" s="345">
        <v>1.1526727907031752E-2</v>
      </c>
      <c r="E107" s="345">
        <v>0.14443873368348223</v>
      </c>
      <c r="F107" s="345">
        <v>0.25184860956678862</v>
      </c>
      <c r="G107" s="345">
        <v>0.32057326325229318</v>
      </c>
      <c r="H107" s="345">
        <v>0.39493161745263433</v>
      </c>
      <c r="I107" s="345">
        <v>0.40800738793250979</v>
      </c>
      <c r="J107" s="345">
        <v>0.41719630806310587</v>
      </c>
      <c r="K107" s="345">
        <v>0.42278368540915828</v>
      </c>
      <c r="L107" s="380">
        <v>0.42278368540915828</v>
      </c>
      <c r="M107" s="296">
        <f t="shared" si="57"/>
        <v>2.0440190789465705E-2</v>
      </c>
      <c r="N107" s="298">
        <f t="shared" si="58"/>
        <v>6.2011479087926615E-3</v>
      </c>
      <c r="O107" s="344">
        <v>0</v>
      </c>
      <c r="P107" s="345">
        <v>0</v>
      </c>
      <c r="Q107" s="345">
        <v>2.2969724882630497E-2</v>
      </c>
      <c r="R107" s="345">
        <v>0.18211945028780599</v>
      </c>
      <c r="S107" s="345">
        <v>0.27818312048040805</v>
      </c>
      <c r="T107" s="345">
        <v>0.34112875107115825</v>
      </c>
      <c r="U107" s="345">
        <v>0.3895140959711042</v>
      </c>
      <c r="V107" s="345">
        <v>0.40861303663952486</v>
      </c>
      <c r="W107" s="345">
        <v>0.41565026280208189</v>
      </c>
      <c r="X107" s="345">
        <v>0.41801659795510204</v>
      </c>
      <c r="Y107" s="380">
        <v>0.42304672341400218</v>
      </c>
      <c r="Z107" s="296">
        <f t="shared" si="59"/>
        <v>3.9182015673752832E-2</v>
      </c>
      <c r="AA107" s="298">
        <f t="shared" si="60"/>
        <v>1.0994299109841035E-2</v>
      </c>
      <c r="AB107" s="948">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49">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6">
        <f t="shared" si="67"/>
        <v>0</v>
      </c>
      <c r="AE107" s="1230">
        <f t="shared" si="64"/>
        <v>2.0440190789465705E-2</v>
      </c>
      <c r="AF107" s="1231">
        <f t="shared" si="65"/>
        <v>3.9182015673752832E-2</v>
      </c>
      <c r="AG107" s="1231">
        <f t="shared" si="66"/>
        <v>5.9622206463218537E-2</v>
      </c>
      <c r="AH107" s="1172">
        <f t="shared" si="62"/>
        <v>0.34282848626334284</v>
      </c>
      <c r="AI107" s="1232">
        <f t="shared" si="63"/>
        <v>0.65717151373665716</v>
      </c>
      <c r="AJ107" s="227"/>
      <c r="AK107" s="540"/>
      <c r="AL107" s="540"/>
      <c r="AM107" s="540"/>
    </row>
    <row r="108" spans="1:39" x14ac:dyDescent="0.2">
      <c r="A108" s="330">
        <v>2039</v>
      </c>
      <c r="B108" s="344">
        <v>0</v>
      </c>
      <c r="C108" s="345">
        <v>1.0381667089623334E-3</v>
      </c>
      <c r="D108" s="345">
        <v>0.1109750458142396</v>
      </c>
      <c r="E108" s="345">
        <v>0.31086962690124442</v>
      </c>
      <c r="F108" s="345">
        <v>0.37521330339725678</v>
      </c>
      <c r="G108" s="345">
        <v>0.40414932773388995</v>
      </c>
      <c r="H108" s="345">
        <v>0.43248497335552621</v>
      </c>
      <c r="I108" s="345">
        <v>0.43040396010928617</v>
      </c>
      <c r="J108" s="345">
        <v>0.43495766073362674</v>
      </c>
      <c r="K108" s="345">
        <v>0.43358246118061888</v>
      </c>
      <c r="L108" s="380">
        <v>0.43358246118061888</v>
      </c>
      <c r="M108" s="296">
        <f t="shared" si="57"/>
        <v>4.0228254996512849E-2</v>
      </c>
      <c r="N108" s="298">
        <f t="shared" si="58"/>
        <v>1.5254056835382257E-2</v>
      </c>
      <c r="O108" s="344">
        <v>0</v>
      </c>
      <c r="P108" s="345">
        <v>2.0677426999619057E-3</v>
      </c>
      <c r="Q108" s="345">
        <v>0.14436707763380099</v>
      </c>
      <c r="R108" s="345">
        <v>0.32351287072776569</v>
      </c>
      <c r="S108" s="345">
        <v>0.38216514772899701</v>
      </c>
      <c r="T108" s="345">
        <v>0.41454108527445815</v>
      </c>
      <c r="U108" s="345">
        <v>0.42563375094915556</v>
      </c>
      <c r="V108" s="345">
        <v>0.42934598208176977</v>
      </c>
      <c r="W108" s="345">
        <v>0.42967584567932776</v>
      </c>
      <c r="X108" s="345">
        <v>0.42724223328602373</v>
      </c>
      <c r="Y108" s="380">
        <v>0.42725311886988981</v>
      </c>
      <c r="Z108" s="296">
        <f t="shared" si="59"/>
        <v>6.2062236538431077E-2</v>
      </c>
      <c r="AA108" s="298">
        <f t="shared" si="60"/>
        <v>2.1359473989760049E-2</v>
      </c>
      <c r="AB108" s="948">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49">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6">
        <f t="shared" si="67"/>
        <v>0</v>
      </c>
      <c r="AE108" s="1230">
        <f t="shared" si="64"/>
        <v>4.0228254996512849E-2</v>
      </c>
      <c r="AF108" s="1231">
        <f t="shared" si="65"/>
        <v>6.2062236538431077E-2</v>
      </c>
      <c r="AG108" s="1231">
        <f t="shared" si="66"/>
        <v>0.10229049153494393</v>
      </c>
      <c r="AH108" s="1172">
        <f t="shared" si="62"/>
        <v>0.39327462790390727</v>
      </c>
      <c r="AI108" s="1232">
        <f t="shared" si="63"/>
        <v>0.60672537209609267</v>
      </c>
      <c r="AJ108" s="227"/>
      <c r="AK108" s="540"/>
      <c r="AL108" s="540"/>
      <c r="AM108" s="540"/>
    </row>
    <row r="109" spans="1:39" ht="13.5" thickBot="1" x14ac:dyDescent="0.25">
      <c r="A109" s="328">
        <v>2040</v>
      </c>
      <c r="B109" s="346">
        <v>0</v>
      </c>
      <c r="C109" s="347">
        <v>4.8098561038214818E-2</v>
      </c>
      <c r="D109" s="347">
        <v>0.28166800548677112</v>
      </c>
      <c r="E109" s="347">
        <v>0.41338144093349755</v>
      </c>
      <c r="F109" s="347">
        <v>0.44468793931100215</v>
      </c>
      <c r="G109" s="347">
        <v>0.44817498124537047</v>
      </c>
      <c r="H109" s="347">
        <v>0.44438094926561517</v>
      </c>
      <c r="I109" s="347">
        <v>0.44023735472695469</v>
      </c>
      <c r="J109" s="347">
        <v>0.43508303645596136</v>
      </c>
      <c r="K109" s="347">
        <v>0.43152148059945195</v>
      </c>
      <c r="L109" s="381">
        <v>0.43152148059945195</v>
      </c>
      <c r="M109" s="310">
        <f t="shared" si="57"/>
        <v>6.8807973334177319E-2</v>
      </c>
      <c r="N109" s="312">
        <f t="shared" si="58"/>
        <v>3.2881197693527077E-2</v>
      </c>
      <c r="O109" s="346">
        <v>0</v>
      </c>
      <c r="P109" s="347">
        <v>6.0212767070554424E-2</v>
      </c>
      <c r="Q109" s="347">
        <v>0.32463381454388185</v>
      </c>
      <c r="R109" s="347">
        <v>0.42005216782606331</v>
      </c>
      <c r="S109" s="347">
        <v>0.44448343484094949</v>
      </c>
      <c r="T109" s="347">
        <v>0.44397354866641631</v>
      </c>
      <c r="U109" s="347">
        <v>0.43902764126782001</v>
      </c>
      <c r="V109" s="347">
        <v>0.43508303645596136</v>
      </c>
      <c r="W109" s="347">
        <v>0.43152148059945195</v>
      </c>
      <c r="X109" s="347">
        <v>0.42905613298343537</v>
      </c>
      <c r="Y109" s="381">
        <v>0.42455137521487368</v>
      </c>
      <c r="Z109" s="310">
        <f t="shared" si="59"/>
        <v>0.10036693938539124</v>
      </c>
      <c r="AA109" s="312">
        <f t="shared" si="60"/>
        <v>4.7318582543390518E-2</v>
      </c>
      <c r="AB109" s="948">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49">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6">
        <f t="shared" si="67"/>
        <v>0</v>
      </c>
      <c r="AE109" s="1230">
        <f t="shared" si="64"/>
        <v>6.8807973334177319E-2</v>
      </c>
      <c r="AF109" s="1231">
        <f t="shared" si="65"/>
        <v>0.10036693938539124</v>
      </c>
      <c r="AG109" s="1231">
        <f t="shared" si="66"/>
        <v>0.16917491271956855</v>
      </c>
      <c r="AH109" s="1172">
        <f t="shared" si="62"/>
        <v>0.40672681444344122</v>
      </c>
      <c r="AI109" s="1232">
        <f t="shared" si="63"/>
        <v>0.59327318555655884</v>
      </c>
      <c r="AJ109" s="227"/>
      <c r="AK109" s="540"/>
      <c r="AL109" s="540"/>
      <c r="AM109" s="540"/>
    </row>
    <row r="110" spans="1:39" x14ac:dyDescent="0.2">
      <c r="A110" s="329">
        <v>2041</v>
      </c>
      <c r="B110" s="342">
        <v>0</v>
      </c>
      <c r="C110" s="343">
        <v>0.22141491575280753</v>
      </c>
      <c r="D110" s="343">
        <v>0.41535962312598762</v>
      </c>
      <c r="E110" s="343">
        <v>0.46148384547137938</v>
      </c>
      <c r="F110" s="343">
        <v>0.46313746053190696</v>
      </c>
      <c r="G110" s="343">
        <v>0.45523745937364424</v>
      </c>
      <c r="H110" s="343">
        <v>0.43880391691541443</v>
      </c>
      <c r="I110" s="343">
        <v>0.43215869166774318</v>
      </c>
      <c r="J110" s="343">
        <v>0.42651697560131063</v>
      </c>
      <c r="K110" s="343">
        <v>0.41884723277318692</v>
      </c>
      <c r="L110" s="379">
        <v>0.41884723277318692</v>
      </c>
      <c r="M110" s="282">
        <f t="shared" si="57"/>
        <v>0.10924159445561718</v>
      </c>
      <c r="N110" s="284">
        <f t="shared" si="58"/>
        <v>6.5143237797065837E-2</v>
      </c>
      <c r="O110" s="342">
        <v>0</v>
      </c>
      <c r="P110" s="343">
        <v>0.24956004211896915</v>
      </c>
      <c r="Q110" s="343">
        <v>0.42517037140579089</v>
      </c>
      <c r="R110" s="343">
        <v>0.46007503955087381</v>
      </c>
      <c r="S110" s="343">
        <v>0.45385675848846552</v>
      </c>
      <c r="T110" s="343">
        <v>0.44421377985122651</v>
      </c>
      <c r="U110" s="343">
        <v>0.43285735652449819</v>
      </c>
      <c r="V110" s="343">
        <v>0.42651697560131063</v>
      </c>
      <c r="W110" s="343">
        <v>0.42127353616360019</v>
      </c>
      <c r="X110" s="343">
        <v>0.41657592256652631</v>
      </c>
      <c r="Y110" s="379">
        <v>0.41257295890853007</v>
      </c>
      <c r="Z110" s="282">
        <f t="shared" si="59"/>
        <v>0.16209594637272426</v>
      </c>
      <c r="AA110" s="284">
        <f t="shared" si="60"/>
        <v>0.10138810866685782</v>
      </c>
      <c r="AB110" s="948">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49">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6">
        <f t="shared" si="67"/>
        <v>0</v>
      </c>
      <c r="AE110" s="1230">
        <f t="shared" si="64"/>
        <v>0.10924159445561718</v>
      </c>
      <c r="AF110" s="1231">
        <f t="shared" si="65"/>
        <v>0.16209594637272426</v>
      </c>
      <c r="AG110" s="1231">
        <f t="shared" si="66"/>
        <v>0.27133754082834144</v>
      </c>
      <c r="AH110" s="1172">
        <f t="shared" si="62"/>
        <v>0.4026040559007189</v>
      </c>
      <c r="AI110" s="1232">
        <f t="shared" si="63"/>
        <v>0.5973959440992811</v>
      </c>
      <c r="AJ110" s="227"/>
      <c r="AK110" s="540"/>
      <c r="AL110" s="540"/>
      <c r="AM110" s="540"/>
    </row>
    <row r="111" spans="1:39" x14ac:dyDescent="0.2">
      <c r="A111" s="330">
        <v>2042</v>
      </c>
      <c r="B111" s="344">
        <v>2.5788625506530043E-2</v>
      </c>
      <c r="C111" s="345">
        <v>0.37722900981574797</v>
      </c>
      <c r="D111" s="345">
        <v>0.46855067094610386</v>
      </c>
      <c r="E111" s="345">
        <v>0.46660199956124115</v>
      </c>
      <c r="F111" s="345">
        <v>0.45059877983224655</v>
      </c>
      <c r="G111" s="345">
        <v>0.43990184651393904</v>
      </c>
      <c r="H111" s="345">
        <v>0.41725962975143766</v>
      </c>
      <c r="I111" s="345">
        <v>0.41152405227572003</v>
      </c>
      <c r="J111" s="345">
        <v>0.40887572514961817</v>
      </c>
      <c r="K111" s="345">
        <v>0.40204397850753099</v>
      </c>
      <c r="L111" s="380">
        <v>0.40204397850753099</v>
      </c>
      <c r="M111" s="296">
        <f t="shared" si="57"/>
        <v>0.13892935371421106</v>
      </c>
      <c r="N111" s="298">
        <f t="shared" si="58"/>
        <v>9.4080397320039574E-2</v>
      </c>
      <c r="O111" s="344">
        <v>1.9887360711124832E-2</v>
      </c>
      <c r="P111" s="345">
        <v>0.38949201795017413</v>
      </c>
      <c r="Q111" s="345">
        <v>0.4711441147690219</v>
      </c>
      <c r="R111" s="345">
        <v>0.45673631794304481</v>
      </c>
      <c r="S111" s="345">
        <v>0.44095673300058918</v>
      </c>
      <c r="T111" s="345">
        <v>0.42666649241243587</v>
      </c>
      <c r="U111" s="345">
        <v>0.41432522332176475</v>
      </c>
      <c r="V111" s="345">
        <v>0.40887572514961817</v>
      </c>
      <c r="W111" s="345">
        <v>0.40411600079586169</v>
      </c>
      <c r="X111" s="345">
        <v>0.40204397850753099</v>
      </c>
      <c r="Y111" s="380">
        <v>0.39861673019720584</v>
      </c>
      <c r="Z111" s="296">
        <f t="shared" si="59"/>
        <v>0.20458719961345548</v>
      </c>
      <c r="AA111" s="298">
        <f t="shared" si="60"/>
        <v>0.14445658176268511</v>
      </c>
      <c r="AB111" s="948">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49">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6">
        <f t="shared" si="67"/>
        <v>0</v>
      </c>
      <c r="AE111" s="1230">
        <f t="shared" si="64"/>
        <v>0.13892935371421106</v>
      </c>
      <c r="AF111" s="1231">
        <f t="shared" si="65"/>
        <v>0.20458719961345548</v>
      </c>
      <c r="AG111" s="1231">
        <f t="shared" si="66"/>
        <v>0.34351655332766651</v>
      </c>
      <c r="AH111" s="1172">
        <f t="shared" si="62"/>
        <v>0.40443277730983745</v>
      </c>
      <c r="AI111" s="1232">
        <f t="shared" si="63"/>
        <v>0.5955672226901626</v>
      </c>
      <c r="AJ111" s="227"/>
      <c r="AK111" s="540"/>
      <c r="AL111" s="540"/>
      <c r="AM111" s="540"/>
    </row>
    <row r="112" spans="1:39" x14ac:dyDescent="0.2">
      <c r="A112" s="330">
        <v>2043</v>
      </c>
      <c r="B112" s="344">
        <v>0.16344163555584121</v>
      </c>
      <c r="C112" s="345">
        <v>0.45561228265787485</v>
      </c>
      <c r="D112" s="345">
        <v>0.47942671406898252</v>
      </c>
      <c r="E112" s="345">
        <v>0.44420996223552561</v>
      </c>
      <c r="F112" s="345">
        <v>0.42437547491031447</v>
      </c>
      <c r="G112" s="345">
        <v>0.41359075277779134</v>
      </c>
      <c r="H112" s="345">
        <v>0.39766225650515996</v>
      </c>
      <c r="I112" s="345">
        <v>0.39248940783950392</v>
      </c>
      <c r="J112" s="345">
        <v>0.39024201078728821</v>
      </c>
      <c r="K112" s="345">
        <v>0.38653061359759894</v>
      </c>
      <c r="L112" s="380">
        <v>0.38653061359759894</v>
      </c>
      <c r="M112" s="296">
        <f t="shared" si="57"/>
        <v>0.16001125605426159</v>
      </c>
      <c r="N112" s="298">
        <f t="shared" si="58"/>
        <v>0.12779039233100625</v>
      </c>
      <c r="O112" s="344">
        <v>0.1505042586933695</v>
      </c>
      <c r="P112" s="345">
        <v>0.46351097153778548</v>
      </c>
      <c r="Q112" s="345">
        <v>0.47127341064341782</v>
      </c>
      <c r="R112" s="345">
        <v>0.43157293068186731</v>
      </c>
      <c r="S112" s="345">
        <v>0.41712473570572522</v>
      </c>
      <c r="T112" s="345">
        <v>0.40360237248796371</v>
      </c>
      <c r="U112" s="345">
        <v>0.39496968277894878</v>
      </c>
      <c r="V112" s="345">
        <v>0.39024201078728821</v>
      </c>
      <c r="W112" s="345">
        <v>0.38653061359759894</v>
      </c>
      <c r="X112" s="345">
        <v>0.38653061359759894</v>
      </c>
      <c r="Y112" s="380">
        <v>0.3840207651402342</v>
      </c>
      <c r="Z112" s="296">
        <f t="shared" si="59"/>
        <v>0.23657912179660007</v>
      </c>
      <c r="AA112" s="298">
        <f t="shared" si="60"/>
        <v>0.19819049406313533</v>
      </c>
      <c r="AB112" s="948">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49">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6">
        <f t="shared" si="67"/>
        <v>0</v>
      </c>
      <c r="AE112" s="1230">
        <f t="shared" si="64"/>
        <v>0.16001125605426159</v>
      </c>
      <c r="AF112" s="1231">
        <f t="shared" si="65"/>
        <v>0.23657912179660007</v>
      </c>
      <c r="AG112" s="1231">
        <f t="shared" si="66"/>
        <v>0.39659037785086165</v>
      </c>
      <c r="AH112" s="1172">
        <f t="shared" si="62"/>
        <v>0.40346731789452045</v>
      </c>
      <c r="AI112" s="1232">
        <f t="shared" si="63"/>
        <v>0.59653268210547949</v>
      </c>
      <c r="AJ112" s="227"/>
      <c r="AK112" s="540"/>
      <c r="AL112" s="540"/>
      <c r="AM112" s="540"/>
    </row>
    <row r="113" spans="1:39" x14ac:dyDescent="0.2">
      <c r="A113" s="330">
        <v>2044</v>
      </c>
      <c r="B113" s="344">
        <v>0.32055902847765022</v>
      </c>
      <c r="C113" s="345">
        <v>0.48277981135687187</v>
      </c>
      <c r="D113" s="345">
        <v>0.45709238809071845</v>
      </c>
      <c r="E113" s="345">
        <v>0.39955652585179185</v>
      </c>
      <c r="F113" s="345">
        <v>0.39666188573616379</v>
      </c>
      <c r="G113" s="345">
        <v>0.3899184645884432</v>
      </c>
      <c r="H113" s="345">
        <v>0.37886961749203341</v>
      </c>
      <c r="I113" s="345">
        <v>0.37673892095815847</v>
      </c>
      <c r="J113" s="345">
        <v>0.37339136438847109</v>
      </c>
      <c r="K113" s="345">
        <v>0.3722276844875626</v>
      </c>
      <c r="L113" s="380">
        <v>0.3722276844875626</v>
      </c>
      <c r="M113" s="296">
        <f t="shared" si="57"/>
        <v>0.17085238401353378</v>
      </c>
      <c r="N113" s="298">
        <f t="shared" si="58"/>
        <v>0.15537871849810966</v>
      </c>
      <c r="O113" s="344">
        <v>0.31802883078113064</v>
      </c>
      <c r="P113" s="345">
        <v>0.48588094130323056</v>
      </c>
      <c r="Q113" s="345">
        <v>0.44259697515858359</v>
      </c>
      <c r="R113" s="345">
        <v>0.38805508856202675</v>
      </c>
      <c r="S113" s="345">
        <v>0.39320628231555343</v>
      </c>
      <c r="T113" s="345">
        <v>0.38393136346524598</v>
      </c>
      <c r="U113" s="345">
        <v>0.37673892095815847</v>
      </c>
      <c r="V113" s="345">
        <v>0.37490466885269413</v>
      </c>
      <c r="W113" s="345">
        <v>0.3722276844875626</v>
      </c>
      <c r="X113" s="345">
        <v>0.3722276844875626</v>
      </c>
      <c r="Y113" s="380">
        <v>0.37145200918123117</v>
      </c>
      <c r="Z113" s="296">
        <f t="shared" si="59"/>
        <v>0.25549432180343717</v>
      </c>
      <c r="AA113" s="298">
        <f t="shared" si="60"/>
        <v>0.24704933903029561</v>
      </c>
      <c r="AB113" s="948">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49">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6">
        <f t="shared" si="67"/>
        <v>0</v>
      </c>
      <c r="AE113" s="1230">
        <f t="shared" si="64"/>
        <v>0.17085238401353378</v>
      </c>
      <c r="AF113" s="1231">
        <f t="shared" si="65"/>
        <v>0.25549432180343717</v>
      </c>
      <c r="AG113" s="1231">
        <f t="shared" si="66"/>
        <v>0.42634670581697098</v>
      </c>
      <c r="AH113" s="1172">
        <f t="shared" si="62"/>
        <v>0.40073579010337201</v>
      </c>
      <c r="AI113" s="1232">
        <f t="shared" si="63"/>
        <v>0.59926420989662788</v>
      </c>
      <c r="AJ113" s="227"/>
      <c r="AK113" s="540"/>
      <c r="AL113" s="540"/>
      <c r="AM113" s="540"/>
    </row>
    <row r="114" spans="1:39" ht="13.5" thickBot="1" x14ac:dyDescent="0.25">
      <c r="A114" s="328">
        <v>2045</v>
      </c>
      <c r="B114" s="346">
        <v>0.41698276712237881</v>
      </c>
      <c r="C114" s="347">
        <v>0.48254401510210521</v>
      </c>
      <c r="D114" s="347">
        <v>0.40591100829732013</v>
      </c>
      <c r="E114" s="347">
        <v>0.34697354828421756</v>
      </c>
      <c r="F114" s="347">
        <v>0.37784511625939377</v>
      </c>
      <c r="G114" s="347">
        <v>0.36948537153175359</v>
      </c>
      <c r="H114" s="347">
        <v>0.36374048343891352</v>
      </c>
      <c r="I114" s="347">
        <v>0.36374048343891352</v>
      </c>
      <c r="J114" s="347">
        <v>0.36252179974418536</v>
      </c>
      <c r="K114" s="347">
        <v>0.36138180343564669</v>
      </c>
      <c r="L114" s="381">
        <v>0.36138180343564669</v>
      </c>
      <c r="M114" s="310">
        <f t="shared" si="57"/>
        <v>0.17038040003362176</v>
      </c>
      <c r="N114" s="312">
        <f t="shared" si="58"/>
        <v>0.16754702355438891</v>
      </c>
      <c r="O114" s="346">
        <v>0.41556107691475852</v>
      </c>
      <c r="P114" s="347">
        <v>0.47678513568032654</v>
      </c>
      <c r="Q114" s="347">
        <v>0.38692867704830336</v>
      </c>
      <c r="R114" s="347">
        <v>0.337027634036978</v>
      </c>
      <c r="S114" s="347">
        <v>0.37201107888283608</v>
      </c>
      <c r="T114" s="347">
        <v>0.3672494611788153</v>
      </c>
      <c r="U114" s="347">
        <v>0.36374048343891352</v>
      </c>
      <c r="V114" s="347">
        <v>0.36252179974418536</v>
      </c>
      <c r="W114" s="347">
        <v>0.36170977810907384</v>
      </c>
      <c r="X114" s="347">
        <v>0.36138180343564669</v>
      </c>
      <c r="Y114" s="381">
        <v>0.36138180343564669</v>
      </c>
      <c r="Z114" s="310">
        <f t="shared" si="59"/>
        <v>0.25542880033722876</v>
      </c>
      <c r="AA114" s="312">
        <f t="shared" si="60"/>
        <v>0.2673543707753549</v>
      </c>
      <c r="AB114" s="948">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49">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6">
        <f t="shared" si="67"/>
        <v>0</v>
      </c>
      <c r="AE114" s="1230">
        <f t="shared" si="64"/>
        <v>0.17038040003362176</v>
      </c>
      <c r="AF114" s="1231">
        <f t="shared" si="65"/>
        <v>0.25542880033722876</v>
      </c>
      <c r="AG114" s="1231">
        <f t="shared" si="66"/>
        <v>0.42580920037085052</v>
      </c>
      <c r="AH114" s="1172">
        <f t="shared" si="62"/>
        <v>0.40013320493129823</v>
      </c>
      <c r="AI114" s="1232">
        <f t="shared" si="63"/>
        <v>0.59986679506870177</v>
      </c>
      <c r="AJ114" s="227"/>
      <c r="AK114" s="540"/>
      <c r="AL114" s="540"/>
      <c r="AM114" s="540"/>
    </row>
    <row r="115" spans="1:39" x14ac:dyDescent="0.2">
      <c r="A115" s="329">
        <v>2046</v>
      </c>
      <c r="B115" s="342">
        <v>0.45716565191115038</v>
      </c>
      <c r="C115" s="343">
        <v>0.45364818844508836</v>
      </c>
      <c r="D115" s="343">
        <v>0.35420012757653674</v>
      </c>
      <c r="E115" s="343">
        <v>0.31130248373111913</v>
      </c>
      <c r="F115" s="343">
        <v>0.36268536458727557</v>
      </c>
      <c r="G115" s="343">
        <v>0.35839354971463716</v>
      </c>
      <c r="H115" s="343">
        <v>0.35550258302513976</v>
      </c>
      <c r="I115" s="343">
        <v>0.35466591220909488</v>
      </c>
      <c r="J115" s="343">
        <v>0.35432803575247435</v>
      </c>
      <c r="K115" s="343">
        <v>0.35432803575247435</v>
      </c>
      <c r="L115" s="379">
        <v>0.35432803575247435</v>
      </c>
      <c r="M115" s="282">
        <f t="shared" si="57"/>
        <v>0.16232711144659664</v>
      </c>
      <c r="N115" s="284">
        <f t="shared" si="58"/>
        <v>0.16670227286868053</v>
      </c>
      <c r="O115" s="342">
        <v>0.45716565191115038</v>
      </c>
      <c r="P115" s="343">
        <v>0.44005972086269274</v>
      </c>
      <c r="Q115" s="343">
        <v>0.33962157776415103</v>
      </c>
      <c r="R115" s="343">
        <v>0.30699433911203161</v>
      </c>
      <c r="S115" s="343">
        <v>0.3603775394250977</v>
      </c>
      <c r="T115" s="343">
        <v>0.3567586177706904</v>
      </c>
      <c r="U115" s="343">
        <v>0.35550258302513976</v>
      </c>
      <c r="V115" s="343">
        <v>0.35466591220909488</v>
      </c>
      <c r="W115" s="343">
        <v>0.35432803575247435</v>
      </c>
      <c r="X115" s="343">
        <v>0.35432803575247435</v>
      </c>
      <c r="Y115" s="379">
        <v>0.35432803575247435</v>
      </c>
      <c r="Z115" s="282">
        <f t="shared" si="59"/>
        <v>0.24386869393988625</v>
      </c>
      <c r="AA115" s="284">
        <f t="shared" si="60"/>
        <v>0.26627349820128637</v>
      </c>
      <c r="AB115" s="948">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49">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6">
        <f t="shared" si="67"/>
        <v>0</v>
      </c>
      <c r="AE115" s="1230">
        <f t="shared" si="64"/>
        <v>0.16232711144659664</v>
      </c>
      <c r="AF115" s="1231">
        <f t="shared" si="65"/>
        <v>0.24386869393988625</v>
      </c>
      <c r="AG115" s="1231">
        <f t="shared" si="66"/>
        <v>0.40619580538648292</v>
      </c>
      <c r="AH115" s="1172">
        <f t="shared" si="62"/>
        <v>0.39962773936611029</v>
      </c>
      <c r="AI115" s="1232">
        <f t="shared" si="63"/>
        <v>0.60037226063388971</v>
      </c>
      <c r="AJ115" s="227"/>
      <c r="AK115" s="540"/>
      <c r="AL115" s="540"/>
      <c r="AM115" s="540"/>
    </row>
    <row r="116" spans="1:39" x14ac:dyDescent="0.2">
      <c r="A116" s="330">
        <v>2047</v>
      </c>
      <c r="B116" s="344">
        <v>0.47929971478957006</v>
      </c>
      <c r="C116" s="345">
        <v>0.40580108403970278</v>
      </c>
      <c r="D116" s="345">
        <v>0.31681183346974551</v>
      </c>
      <c r="E116" s="345">
        <v>0.28925983934803096</v>
      </c>
      <c r="F116" s="345">
        <v>0.35386497091616842</v>
      </c>
      <c r="G116" s="345">
        <v>0.35219860091695609</v>
      </c>
      <c r="H116" s="345">
        <v>0.3500663738864605</v>
      </c>
      <c r="I116" s="345">
        <v>0.34972219219172418</v>
      </c>
      <c r="J116" s="345">
        <v>0.34972219219172418</v>
      </c>
      <c r="K116" s="345">
        <v>0.34972219219172418</v>
      </c>
      <c r="L116" s="380">
        <v>0.34972219219172418</v>
      </c>
      <c r="M116" s="296">
        <f t="shared" si="57"/>
        <v>0.15215769085834868</v>
      </c>
      <c r="N116" s="298">
        <f t="shared" si="58"/>
        <v>0.16121806381725298</v>
      </c>
      <c r="O116" s="344">
        <v>0.472722394823478</v>
      </c>
      <c r="P116" s="345">
        <v>0.38917348750283143</v>
      </c>
      <c r="Q116" s="345">
        <v>0.30882704220063945</v>
      </c>
      <c r="R116" s="345">
        <v>0.28585425944290599</v>
      </c>
      <c r="S116" s="345">
        <v>0.35219860091695609</v>
      </c>
      <c r="T116" s="345">
        <v>0.35091874867244849</v>
      </c>
      <c r="U116" s="345">
        <v>0.34972219219172418</v>
      </c>
      <c r="V116" s="345">
        <v>0.34972219219172418</v>
      </c>
      <c r="W116" s="345">
        <v>0.34972219219172418</v>
      </c>
      <c r="X116" s="345">
        <v>0.34972219219172418</v>
      </c>
      <c r="Y116" s="380">
        <v>0.34972219219172418</v>
      </c>
      <c r="Z116" s="296">
        <f t="shared" si="59"/>
        <v>0.2276396942517768</v>
      </c>
      <c r="AA116" s="298">
        <f t="shared" si="60"/>
        <v>0.25547314266319521</v>
      </c>
      <c r="AB116" s="948">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49">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6">
        <f t="shared" si="67"/>
        <v>0</v>
      </c>
      <c r="AE116" s="1230">
        <f t="shared" si="64"/>
        <v>0.15215769085834868</v>
      </c>
      <c r="AF116" s="1231">
        <f t="shared" si="65"/>
        <v>0.2276396942517768</v>
      </c>
      <c r="AG116" s="1231">
        <f t="shared" si="66"/>
        <v>0.37979738511012551</v>
      </c>
      <c r="AH116" s="1172">
        <f t="shared" si="62"/>
        <v>0.40062858993678763</v>
      </c>
      <c r="AI116" s="1232">
        <f t="shared" si="63"/>
        <v>0.59937141006321226</v>
      </c>
      <c r="AJ116" s="227"/>
      <c r="AK116" s="540"/>
      <c r="AL116" s="540"/>
      <c r="AM116" s="540"/>
    </row>
    <row r="117" spans="1:39" x14ac:dyDescent="0.2">
      <c r="A117" s="330">
        <v>2048</v>
      </c>
      <c r="B117" s="344">
        <v>0.48439256961106386</v>
      </c>
      <c r="C117" s="345">
        <v>0.36187272313641466</v>
      </c>
      <c r="D117" s="345">
        <v>0.29339273752943656</v>
      </c>
      <c r="E117" s="345">
        <v>0.27532307344054785</v>
      </c>
      <c r="F117" s="345">
        <v>0.34931467386339277</v>
      </c>
      <c r="G117" s="345">
        <v>0.34802041621135971</v>
      </c>
      <c r="H117" s="345">
        <v>0.34681055925250515</v>
      </c>
      <c r="I117" s="345">
        <v>0.34681055925250515</v>
      </c>
      <c r="J117" s="345">
        <v>0.34681055925250515</v>
      </c>
      <c r="K117" s="345">
        <v>0.34681055925250515</v>
      </c>
      <c r="L117" s="380">
        <v>0.34681055925250515</v>
      </c>
      <c r="M117" s="296">
        <f t="shared" si="57"/>
        <v>0.14305071837880703</v>
      </c>
      <c r="N117" s="298">
        <f t="shared" si="58"/>
        <v>0.15436590356281538</v>
      </c>
      <c r="O117" s="344">
        <v>0.48439256961106386</v>
      </c>
      <c r="P117" s="345">
        <v>0.35174478983920887</v>
      </c>
      <c r="Q117" s="345">
        <v>0.28904875547750003</v>
      </c>
      <c r="R117" s="345">
        <v>0.27289030688658539</v>
      </c>
      <c r="S117" s="345">
        <v>0.34802041621135971</v>
      </c>
      <c r="T117" s="345">
        <v>0.34715855017244773</v>
      </c>
      <c r="U117" s="345">
        <v>0.34681055925250515</v>
      </c>
      <c r="V117" s="345">
        <v>0.34681055925250515</v>
      </c>
      <c r="W117" s="345">
        <v>0.34681055925250515</v>
      </c>
      <c r="X117" s="345">
        <v>0.34681055925250515</v>
      </c>
      <c r="Y117" s="380">
        <v>0.34681055925250515</v>
      </c>
      <c r="Z117" s="296">
        <f t="shared" si="59"/>
        <v>0.2162047810093797</v>
      </c>
      <c r="AA117" s="298">
        <f t="shared" si="60"/>
        <v>0.24780349264383519</v>
      </c>
      <c r="AB117" s="948">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49">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6">
        <f t="shared" si="67"/>
        <v>0</v>
      </c>
      <c r="AE117" s="1230">
        <f t="shared" si="64"/>
        <v>0.14305071837880703</v>
      </c>
      <c r="AF117" s="1231">
        <f t="shared" si="65"/>
        <v>0.2162047810093797</v>
      </c>
      <c r="AG117" s="1231">
        <f t="shared" si="66"/>
        <v>0.35925549938818674</v>
      </c>
      <c r="AH117" s="1172">
        <f t="shared" si="62"/>
        <v>0.39818657925187745</v>
      </c>
      <c r="AI117" s="1232">
        <f t="shared" si="63"/>
        <v>0.6018134207481225</v>
      </c>
      <c r="AJ117" s="227"/>
      <c r="AK117" s="540"/>
      <c r="AL117" s="540"/>
      <c r="AM117" s="540"/>
    </row>
    <row r="118" spans="1:39" x14ac:dyDescent="0.2">
      <c r="A118" s="330">
        <v>2049</v>
      </c>
      <c r="B118" s="344">
        <v>0.48538852545080619</v>
      </c>
      <c r="C118" s="345">
        <v>0.33201585192184424</v>
      </c>
      <c r="D118" s="345">
        <v>0.28350362748818492</v>
      </c>
      <c r="E118" s="345">
        <v>0.26830006336957413</v>
      </c>
      <c r="F118" s="345">
        <v>0.34623156763669083</v>
      </c>
      <c r="G118" s="345">
        <v>0.34536402776131886</v>
      </c>
      <c r="H118" s="345">
        <v>0.34501376033242226</v>
      </c>
      <c r="I118" s="345">
        <v>0.34501376033242226</v>
      </c>
      <c r="J118" s="345">
        <v>0.34501376033242226</v>
      </c>
      <c r="K118" s="345">
        <v>0.34501376033242226</v>
      </c>
      <c r="L118" s="380">
        <v>0.34501376033242226</v>
      </c>
      <c r="M118" s="296">
        <f t="shared" si="57"/>
        <v>0.13733241201337434</v>
      </c>
      <c r="N118" s="298">
        <f t="shared" si="58"/>
        <v>0.14965287166607302</v>
      </c>
      <c r="O118" s="344">
        <v>0.48578299635373501</v>
      </c>
      <c r="P118" s="345">
        <v>0.32561385906912593</v>
      </c>
      <c r="Q118" s="345">
        <v>0.27785245250383506</v>
      </c>
      <c r="R118" s="345">
        <v>0.2672974490943531</v>
      </c>
      <c r="S118" s="345">
        <v>0.34536402776131886</v>
      </c>
      <c r="T118" s="345">
        <v>0.34501376033242226</v>
      </c>
      <c r="U118" s="345">
        <v>0.34501376033242226</v>
      </c>
      <c r="V118" s="345">
        <v>0.34501376033242226</v>
      </c>
      <c r="W118" s="345">
        <v>0.34501376033242226</v>
      </c>
      <c r="X118" s="345">
        <v>0.34501376033242226</v>
      </c>
      <c r="Y118" s="380">
        <v>0.34501376033242226</v>
      </c>
      <c r="Z118" s="296">
        <f t="shared" si="59"/>
        <v>0.2078915044693331</v>
      </c>
      <c r="AA118" s="298">
        <f t="shared" si="60"/>
        <v>0.24080762873917114</v>
      </c>
      <c r="AB118" s="948">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49">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6">
        <f t="shared" si="67"/>
        <v>0</v>
      </c>
      <c r="AE118" s="1230">
        <f t="shared" si="64"/>
        <v>0.13733241201337434</v>
      </c>
      <c r="AF118" s="1231">
        <f t="shared" si="65"/>
        <v>0.2078915044693331</v>
      </c>
      <c r="AG118" s="1231">
        <f t="shared" si="66"/>
        <v>0.34522391648270745</v>
      </c>
      <c r="AH118" s="1172">
        <f t="shared" si="62"/>
        <v>0.39780677252195368</v>
      </c>
      <c r="AI118" s="1232">
        <f t="shared" si="63"/>
        <v>0.60219322747804627</v>
      </c>
      <c r="AJ118" s="227"/>
      <c r="AK118" s="540"/>
      <c r="AL118" s="540"/>
      <c r="AM118" s="540"/>
    </row>
    <row r="119" spans="1:39" ht="13.5" thickBot="1" x14ac:dyDescent="0.25">
      <c r="A119" s="328">
        <v>2050</v>
      </c>
      <c r="B119" s="346">
        <v>0.46229850365385999</v>
      </c>
      <c r="C119" s="347">
        <v>0.30012553954521715</v>
      </c>
      <c r="D119" s="347">
        <v>0.26682766521410056</v>
      </c>
      <c r="E119" s="347">
        <v>0.26017159884944713</v>
      </c>
      <c r="F119" s="347">
        <v>0.34262408380584952</v>
      </c>
      <c r="G119" s="347">
        <v>0.34227042369312083</v>
      </c>
      <c r="H119" s="347">
        <v>0.34227042369312083</v>
      </c>
      <c r="I119" s="347">
        <v>0.34227042369312083</v>
      </c>
      <c r="J119" s="347">
        <v>0.34227042369312083</v>
      </c>
      <c r="K119" s="347">
        <v>0.34227042369312083</v>
      </c>
      <c r="L119" s="381">
        <v>0.34227042369312083</v>
      </c>
      <c r="M119" s="310">
        <f t="shared" si="57"/>
        <v>0.12883273755839605</v>
      </c>
      <c r="N119" s="312">
        <f t="shared" si="58"/>
        <v>0.14030904779079875</v>
      </c>
      <c r="O119" s="346">
        <v>0.45925036773775169</v>
      </c>
      <c r="P119" s="347">
        <v>0.29220716295042182</v>
      </c>
      <c r="Q119" s="347">
        <v>0.2644031700666053</v>
      </c>
      <c r="R119" s="347">
        <v>0.25996453107618861</v>
      </c>
      <c r="S119" s="347">
        <v>0.34227042369312083</v>
      </c>
      <c r="T119" s="347">
        <v>0.34227042369312083</v>
      </c>
      <c r="U119" s="347">
        <v>0.34227042369312083</v>
      </c>
      <c r="V119" s="347">
        <v>0.34227042369312083</v>
      </c>
      <c r="W119" s="347">
        <v>0.34227042369312083</v>
      </c>
      <c r="X119" s="347">
        <v>0.34227042369312083</v>
      </c>
      <c r="Y119" s="381">
        <v>0.34227042369312083</v>
      </c>
      <c r="Z119" s="310">
        <f t="shared" si="59"/>
        <v>0.19405913644992145</v>
      </c>
      <c r="AA119" s="312">
        <f t="shared" si="60"/>
        <v>0.22416213848624722</v>
      </c>
      <c r="AB119" s="950">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1">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7">
        <f t="shared" si="67"/>
        <v>0</v>
      </c>
      <c r="AE119" s="1233">
        <f t="shared" si="64"/>
        <v>0.12883273755839605</v>
      </c>
      <c r="AF119" s="1234">
        <f t="shared" si="65"/>
        <v>0.19405913644992145</v>
      </c>
      <c r="AG119" s="1234">
        <f t="shared" si="66"/>
        <v>0.32289187400831754</v>
      </c>
      <c r="AH119" s="1235">
        <f t="shared" si="62"/>
        <v>0.39899653081724001</v>
      </c>
      <c r="AI119" s="1236">
        <f t="shared" si="63"/>
        <v>0.60100346918275993</v>
      </c>
      <c r="AJ119" s="227"/>
      <c r="AK119" s="540"/>
      <c r="AL119" s="540"/>
      <c r="AM119" s="540"/>
    </row>
    <row r="120" spans="1:39" x14ac:dyDescent="0.2">
      <c r="B120" s="227" t="s">
        <v>240</v>
      </c>
      <c r="U120" s="227" t="s">
        <v>240</v>
      </c>
      <c r="AB120"/>
      <c r="AC120"/>
      <c r="AD120"/>
    </row>
    <row r="121" spans="1:39" ht="13.5" thickBot="1" x14ac:dyDescent="0.25"/>
    <row r="122" spans="1:39" ht="15" x14ac:dyDescent="0.25">
      <c r="A122" s="333"/>
      <c r="B122" s="1538" t="s">
        <v>195</v>
      </c>
      <c r="C122" s="1539"/>
      <c r="D122" s="1539"/>
      <c r="E122" s="1539"/>
      <c r="F122" s="1539"/>
      <c r="G122" s="1539"/>
      <c r="H122" s="1539"/>
      <c r="I122" s="1539"/>
      <c r="J122" s="1539"/>
      <c r="K122" s="1539"/>
      <c r="L122" s="1539"/>
      <c r="M122" s="1539"/>
      <c r="N122" s="1540"/>
      <c r="O122" s="1538" t="s">
        <v>196</v>
      </c>
      <c r="P122" s="1539"/>
      <c r="Q122" s="1539"/>
      <c r="R122" s="1539"/>
      <c r="S122" s="1539"/>
      <c r="T122" s="1539"/>
      <c r="U122" s="1539"/>
      <c r="V122" s="1539"/>
      <c r="W122" s="1539"/>
      <c r="X122" s="1539"/>
      <c r="Y122" s="1539"/>
      <c r="Z122" s="1539"/>
      <c r="AA122" s="1540"/>
      <c r="AI122" s="227"/>
      <c r="AJ122" s="227"/>
      <c r="AK122" s="227"/>
      <c r="AL122" s="227"/>
      <c r="AM122" s="227"/>
    </row>
    <row r="123" spans="1:39" x14ac:dyDescent="0.2">
      <c r="A123" s="324"/>
      <c r="B123" s="1535" t="s">
        <v>121</v>
      </c>
      <c r="C123" s="1536"/>
      <c r="D123" s="1536"/>
      <c r="E123" s="1536"/>
      <c r="F123" s="1536"/>
      <c r="G123" s="1536"/>
      <c r="H123" s="1536"/>
      <c r="I123" s="1536"/>
      <c r="J123" s="1536"/>
      <c r="K123" s="1536"/>
      <c r="L123" s="1537"/>
      <c r="M123" s="382"/>
      <c r="N123" s="325"/>
      <c r="O123" s="1535" t="s">
        <v>121</v>
      </c>
      <c r="P123" s="1536"/>
      <c r="Q123" s="1536"/>
      <c r="R123" s="1536"/>
      <c r="S123" s="1536"/>
      <c r="T123" s="1536"/>
      <c r="U123" s="1536"/>
      <c r="V123" s="1536"/>
      <c r="W123" s="1536"/>
      <c r="X123" s="1536"/>
      <c r="Y123" s="1537"/>
      <c r="Z123" s="382"/>
      <c r="AA123" s="325"/>
      <c r="AC123" s="954" t="s">
        <v>267</v>
      </c>
      <c r="AD123" s="234" t="b">
        <f>INDEX(TECH_OPT_FUEL2_Cls1,MATCH(RIGHT(O122),TECH_OPT_ROWS_Cls1,0))&lt;&gt;"N/A"</f>
        <v>0</v>
      </c>
      <c r="AI123" s="227"/>
      <c r="AJ123" s="227"/>
      <c r="AK123" s="227"/>
      <c r="AL123" s="227"/>
      <c r="AM123" s="227"/>
    </row>
    <row r="124" spans="1:39" ht="13.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I124" s="227"/>
      <c r="AJ124" s="227"/>
      <c r="AK124" s="227"/>
      <c r="AL124" s="227"/>
      <c r="AM124" s="227"/>
    </row>
    <row r="125" spans="1:39" ht="14.25"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09">
        <v>1.1022999100839563E-4</v>
      </c>
      <c r="Z125" s="1214"/>
      <c r="AA125" s="1216">
        <v>0.76263667822937764</v>
      </c>
      <c r="AI125" s="227"/>
      <c r="AJ125" s="227"/>
      <c r="AK125" s="227"/>
      <c r="AL125" s="227"/>
      <c r="AM125" s="227"/>
    </row>
    <row r="126" spans="1:39" x14ac:dyDescent="0.2">
      <c r="A126" s="331" t="s">
        <v>125</v>
      </c>
      <c r="B126" s="923">
        <f t="array" ref="B126:L126">TRANSPOSE(Cls3CentVMTShr)</f>
        <v>7.4407503791532936E-2</v>
      </c>
      <c r="C126" s="924">
        <v>0.15052192967997111</v>
      </c>
      <c r="D126" s="924">
        <v>8.9028098283245441E-2</v>
      </c>
      <c r="E126" s="924">
        <v>4.5356257743642811E-2</v>
      </c>
      <c r="F126" s="924">
        <v>2.1016507050137231E-2</v>
      </c>
      <c r="G126" s="924">
        <v>4.9007047894213725E-4</v>
      </c>
      <c r="H126" s="924">
        <v>1.4797621296467818E-2</v>
      </c>
      <c r="I126" s="924">
        <v>0</v>
      </c>
      <c r="J126" s="924">
        <v>0</v>
      </c>
      <c r="K126" s="924">
        <v>3.7103078033661591E-3</v>
      </c>
      <c r="L126" s="1210">
        <v>0</v>
      </c>
      <c r="M126" s="1211"/>
      <c r="N126" s="1212"/>
      <c r="O126" s="923">
        <f t="array" ref="O126:Y126">TRANSPOSE(Cls3NCentVMTShr)</f>
        <v>0.11481596497083862</v>
      </c>
      <c r="P126" s="924">
        <v>0.26987209279577573</v>
      </c>
      <c r="Q126" s="924">
        <v>8.3836105982992667E-2</v>
      </c>
      <c r="R126" s="924">
        <v>5.9842896537765707E-2</v>
      </c>
      <c r="S126" s="924">
        <v>1.6413649143963899E-2</v>
      </c>
      <c r="T126" s="924">
        <v>1.0165768727376887E-2</v>
      </c>
      <c r="U126" s="924">
        <v>2.0700108148562976E-2</v>
      </c>
      <c r="V126" s="924">
        <v>2.0956833812228508E-2</v>
      </c>
      <c r="W126" s="924">
        <v>3.1584958359553582E-3</v>
      </c>
      <c r="X126" s="924">
        <v>0</v>
      </c>
      <c r="Y126" s="925">
        <v>9.0978791723388369E-4</v>
      </c>
      <c r="Z126" s="1217">
        <v>0.76961852331138836</v>
      </c>
      <c r="AA126" s="1212"/>
      <c r="AB126" s="1551" t="str">
        <f>"% of miles on f2 for Tech "&amp; RIGHT(O121)&amp;" adopters"</f>
        <v>% of miles on f2 for Tech  adopters</v>
      </c>
      <c r="AC126" s="1552"/>
      <c r="AD126" s="1553"/>
      <c r="AE126" s="1237" t="s">
        <v>298</v>
      </c>
      <c r="AF126" s="1238"/>
      <c r="AG126" s="1238"/>
      <c r="AH126" s="1228" t="s">
        <v>297</v>
      </c>
      <c r="AI126" s="1229"/>
      <c r="AJ126" s="227"/>
      <c r="AK126" s="227"/>
      <c r="AL126" s="227"/>
      <c r="AM126" s="227"/>
    </row>
    <row r="127" spans="1:39" ht="13.5" thickBot="1" x14ac:dyDescent="0.25">
      <c r="A127" s="942" t="s">
        <v>266</v>
      </c>
      <c r="B127" s="933">
        <f t="array" ref="B127:L127">TRANSPOSE(Cls3CentVMT/OPDAYS_Cls3)</f>
        <v>49.202805162026571</v>
      </c>
      <c r="C127" s="934">
        <v>115.99623692884222</v>
      </c>
      <c r="D127" s="934">
        <v>190.94140758026836</v>
      </c>
      <c r="E127" s="934">
        <v>282.72824571583544</v>
      </c>
      <c r="F127" s="934">
        <v>349.10577157713089</v>
      </c>
      <c r="G127" s="934">
        <v>408.92399999999998</v>
      </c>
      <c r="H127" s="934">
        <v>540.31926836851005</v>
      </c>
      <c r="I127" s="934">
        <v>600</v>
      </c>
      <c r="J127" s="934">
        <v>680</v>
      </c>
      <c r="K127" s="934">
        <v>800.00000000000011</v>
      </c>
      <c r="L127" s="935">
        <v>800</v>
      </c>
      <c r="M127" s="931"/>
      <c r="N127" s="932"/>
      <c r="O127" s="933">
        <f t="array" ref="O127:Y127">TRANSPOSE(Cls3NCentVMT/OPDAYS_Cls3)</f>
        <v>45.820527909508108</v>
      </c>
      <c r="P127" s="934">
        <v>114.90604343518244</v>
      </c>
      <c r="Q127" s="934">
        <v>196.29405935940918</v>
      </c>
      <c r="R127" s="934">
        <v>286.46435582159182</v>
      </c>
      <c r="S127" s="934">
        <v>352.24339419308075</v>
      </c>
      <c r="T127" s="934">
        <v>427.07804424634116</v>
      </c>
      <c r="U127" s="934">
        <v>519.59880241076587</v>
      </c>
      <c r="V127" s="934">
        <v>608.4346682070543</v>
      </c>
      <c r="W127" s="934">
        <v>703.2</v>
      </c>
      <c r="X127" s="934">
        <v>760</v>
      </c>
      <c r="Y127" s="1213">
        <v>900</v>
      </c>
      <c r="Z127" s="943"/>
      <c r="AA127" s="932"/>
      <c r="AB127" s="945" t="s">
        <v>186</v>
      </c>
      <c r="AC127" s="946" t="s">
        <v>15</v>
      </c>
      <c r="AD127" s="947" t="s">
        <v>18</v>
      </c>
      <c r="AE127" s="330" t="s">
        <v>186</v>
      </c>
      <c r="AF127" s="1239" t="s">
        <v>15</v>
      </c>
      <c r="AG127" s="1239" t="s">
        <v>18</v>
      </c>
      <c r="AH127" s="1240" t="s">
        <v>186</v>
      </c>
      <c r="AI127" s="1241" t="s">
        <v>15</v>
      </c>
    </row>
    <row r="128" spans="1:39" ht="13.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1">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1">
        <f>SUMPRODUCT(O128:Y128,$O$125:$Y$125)</f>
        <v>0</v>
      </c>
      <c r="AB128" s="948">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49">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6">
        <f>AB128*AH128+AC128*AI128</f>
        <v>0</v>
      </c>
      <c r="AE128" s="1230">
        <f t="shared" ref="AE128:AE142" si="68">SUMPRODUCT($B$74:$L$74,B128:L128)</f>
        <v>0</v>
      </c>
      <c r="AF128" s="1231">
        <f t="shared" ref="AF128:AF142" si="69">SUMPRODUCT($O$74:$Y$74,O128:Y128)</f>
        <v>0</v>
      </c>
      <c r="AG128" s="1231">
        <f t="shared" ref="AG128:AG142" si="70">SUM(AE128:AF128)</f>
        <v>0</v>
      </c>
      <c r="AH128" s="1172">
        <f>IF(AG128&gt;0,AE128/AG128,0)</f>
        <v>0</v>
      </c>
      <c r="AI128" s="1232">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71">SUMPRODUCT(B129:L129,$B$126:$L$126)</f>
        <v>0</v>
      </c>
      <c r="N129" s="298">
        <f t="shared" ref="N129:N171" si="72">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73">SUMPRODUCT(O129:Y129,$O$126:$Y$126)</f>
        <v>0</v>
      </c>
      <c r="AA129" s="298">
        <f t="shared" ref="AA129:AA171" si="74">SUMPRODUCT(O129:Y129,$O$125:$Y$125)</f>
        <v>0</v>
      </c>
      <c r="AB129" s="948">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49">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6">
        <f t="shared" ref="AD129:AD153" si="75">AB129*AH129+AC129*AI129</f>
        <v>0</v>
      </c>
      <c r="AE129" s="1230">
        <f t="shared" si="68"/>
        <v>0</v>
      </c>
      <c r="AF129" s="1231">
        <f t="shared" si="69"/>
        <v>0</v>
      </c>
      <c r="AG129" s="1231">
        <f t="shared" si="70"/>
        <v>0</v>
      </c>
      <c r="AH129" s="1172">
        <f t="shared" ref="AH129:AH171" si="76">IF(AG129&gt;0,AE129/AG129,0)</f>
        <v>0</v>
      </c>
      <c r="AI129" s="1232">
        <f t="shared" ref="AI129:AI171" si="77">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71"/>
        <v>0</v>
      </c>
      <c r="N130" s="298">
        <f t="shared" si="72"/>
        <v>0</v>
      </c>
      <c r="O130" s="344">
        <v>0</v>
      </c>
      <c r="P130" s="345">
        <v>0</v>
      </c>
      <c r="Q130" s="345">
        <v>0</v>
      </c>
      <c r="R130" s="345">
        <v>0</v>
      </c>
      <c r="S130" s="345">
        <v>0</v>
      </c>
      <c r="T130" s="345">
        <v>0</v>
      </c>
      <c r="U130" s="345">
        <v>0</v>
      </c>
      <c r="V130" s="345">
        <v>0</v>
      </c>
      <c r="W130" s="345">
        <v>0</v>
      </c>
      <c r="X130" s="345">
        <v>0</v>
      </c>
      <c r="Y130" s="380">
        <v>0</v>
      </c>
      <c r="Z130" s="296">
        <f t="shared" si="73"/>
        <v>0</v>
      </c>
      <c r="AA130" s="298">
        <f t="shared" si="74"/>
        <v>0</v>
      </c>
      <c r="AB130" s="948">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49">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6">
        <f t="shared" si="75"/>
        <v>0</v>
      </c>
      <c r="AE130" s="1230">
        <f t="shared" si="68"/>
        <v>0</v>
      </c>
      <c r="AF130" s="1231">
        <f t="shared" si="69"/>
        <v>0</v>
      </c>
      <c r="AG130" s="1231">
        <f t="shared" si="70"/>
        <v>0</v>
      </c>
      <c r="AH130" s="1172">
        <f t="shared" si="76"/>
        <v>0</v>
      </c>
      <c r="AI130" s="1232">
        <f t="shared" si="77"/>
        <v>0</v>
      </c>
      <c r="AJ130" s="227"/>
      <c r="AK130" s="227"/>
      <c r="AL130" s="227"/>
      <c r="AM130" s="227"/>
    </row>
    <row r="131" spans="1:39" ht="13.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71"/>
        <v>0</v>
      </c>
      <c r="N131" s="312">
        <f t="shared" si="72"/>
        <v>0</v>
      </c>
      <c r="O131" s="346">
        <v>0</v>
      </c>
      <c r="P131" s="347">
        <v>0</v>
      </c>
      <c r="Q131" s="347">
        <v>0</v>
      </c>
      <c r="R131" s="347">
        <v>0</v>
      </c>
      <c r="S131" s="347">
        <v>0</v>
      </c>
      <c r="T131" s="347">
        <v>0</v>
      </c>
      <c r="U131" s="347">
        <v>0</v>
      </c>
      <c r="V131" s="347">
        <v>0</v>
      </c>
      <c r="W131" s="347">
        <v>0</v>
      </c>
      <c r="X131" s="347">
        <v>0</v>
      </c>
      <c r="Y131" s="381">
        <v>0</v>
      </c>
      <c r="Z131" s="310">
        <f t="shared" si="73"/>
        <v>0</v>
      </c>
      <c r="AA131" s="312">
        <f t="shared" si="74"/>
        <v>0</v>
      </c>
      <c r="AB131" s="948">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49">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6">
        <f t="shared" si="75"/>
        <v>0</v>
      </c>
      <c r="AE131" s="1230">
        <f t="shared" si="68"/>
        <v>0</v>
      </c>
      <c r="AF131" s="1231">
        <f t="shared" si="69"/>
        <v>0</v>
      </c>
      <c r="AG131" s="1231">
        <f t="shared" si="70"/>
        <v>0</v>
      </c>
      <c r="AH131" s="1172">
        <f t="shared" si="76"/>
        <v>0</v>
      </c>
      <c r="AI131" s="1232">
        <f t="shared" si="77"/>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71"/>
        <v>0</v>
      </c>
      <c r="N132" s="284">
        <f t="shared" si="72"/>
        <v>0</v>
      </c>
      <c r="O132" s="342">
        <v>0</v>
      </c>
      <c r="P132" s="343">
        <v>0</v>
      </c>
      <c r="Q132" s="343">
        <v>0</v>
      </c>
      <c r="R132" s="343">
        <v>0</v>
      </c>
      <c r="S132" s="343">
        <v>0</v>
      </c>
      <c r="T132" s="343">
        <v>0</v>
      </c>
      <c r="U132" s="343">
        <v>0</v>
      </c>
      <c r="V132" s="343">
        <v>0</v>
      </c>
      <c r="W132" s="343">
        <v>0</v>
      </c>
      <c r="X132" s="343">
        <v>0</v>
      </c>
      <c r="Y132" s="379">
        <v>0</v>
      </c>
      <c r="Z132" s="282">
        <f t="shared" si="73"/>
        <v>0</v>
      </c>
      <c r="AA132" s="284">
        <f t="shared" si="74"/>
        <v>0</v>
      </c>
      <c r="AB132" s="948">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49">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6">
        <f t="shared" si="75"/>
        <v>0</v>
      </c>
      <c r="AE132" s="1230">
        <f t="shared" si="68"/>
        <v>0</v>
      </c>
      <c r="AF132" s="1231">
        <f t="shared" si="69"/>
        <v>0</v>
      </c>
      <c r="AG132" s="1231">
        <f t="shared" si="70"/>
        <v>0</v>
      </c>
      <c r="AH132" s="1172">
        <f t="shared" si="76"/>
        <v>0</v>
      </c>
      <c r="AI132" s="1232">
        <f t="shared" si="77"/>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71"/>
        <v>0</v>
      </c>
      <c r="N133" s="298">
        <f t="shared" si="72"/>
        <v>0</v>
      </c>
      <c r="O133" s="344">
        <v>0</v>
      </c>
      <c r="P133" s="345">
        <v>0</v>
      </c>
      <c r="Q133" s="345">
        <v>0</v>
      </c>
      <c r="R133" s="345">
        <v>0</v>
      </c>
      <c r="S133" s="345">
        <v>0</v>
      </c>
      <c r="T133" s="345">
        <v>0</v>
      </c>
      <c r="U133" s="345">
        <v>0</v>
      </c>
      <c r="V133" s="345">
        <v>0</v>
      </c>
      <c r="W133" s="345">
        <v>0</v>
      </c>
      <c r="X133" s="345">
        <v>0</v>
      </c>
      <c r="Y133" s="380">
        <v>0</v>
      </c>
      <c r="Z133" s="296">
        <f t="shared" si="73"/>
        <v>0</v>
      </c>
      <c r="AA133" s="298">
        <f t="shared" si="74"/>
        <v>0</v>
      </c>
      <c r="AB133" s="948">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49">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6">
        <f t="shared" si="75"/>
        <v>0</v>
      </c>
      <c r="AE133" s="1230">
        <f t="shared" si="68"/>
        <v>0</v>
      </c>
      <c r="AF133" s="1231">
        <f t="shared" si="69"/>
        <v>0</v>
      </c>
      <c r="AG133" s="1231">
        <f t="shared" si="70"/>
        <v>0</v>
      </c>
      <c r="AH133" s="1172">
        <f t="shared" si="76"/>
        <v>0</v>
      </c>
      <c r="AI133" s="1232">
        <f t="shared" si="77"/>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71"/>
        <v>0</v>
      </c>
      <c r="N134" s="298">
        <f t="shared" si="72"/>
        <v>0</v>
      </c>
      <c r="O134" s="344">
        <v>0</v>
      </c>
      <c r="P134" s="345">
        <v>0</v>
      </c>
      <c r="Q134" s="345">
        <v>0</v>
      </c>
      <c r="R134" s="345">
        <v>0</v>
      </c>
      <c r="S134" s="345">
        <v>0</v>
      </c>
      <c r="T134" s="345">
        <v>0</v>
      </c>
      <c r="U134" s="345">
        <v>0</v>
      </c>
      <c r="V134" s="345">
        <v>0</v>
      </c>
      <c r="W134" s="345">
        <v>0</v>
      </c>
      <c r="X134" s="345">
        <v>0</v>
      </c>
      <c r="Y134" s="380">
        <v>0</v>
      </c>
      <c r="Z134" s="296">
        <f t="shared" si="73"/>
        <v>0</v>
      </c>
      <c r="AA134" s="298">
        <f t="shared" si="74"/>
        <v>0</v>
      </c>
      <c r="AB134" s="948">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49">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6">
        <f t="shared" si="75"/>
        <v>0</v>
      </c>
      <c r="AE134" s="1230">
        <f t="shared" si="68"/>
        <v>0</v>
      </c>
      <c r="AF134" s="1231">
        <f t="shared" si="69"/>
        <v>0</v>
      </c>
      <c r="AG134" s="1231">
        <f t="shared" si="70"/>
        <v>0</v>
      </c>
      <c r="AH134" s="1172">
        <f t="shared" si="76"/>
        <v>0</v>
      </c>
      <c r="AI134" s="1232">
        <f t="shared" si="77"/>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71"/>
        <v>0</v>
      </c>
      <c r="N135" s="298">
        <f t="shared" si="72"/>
        <v>0</v>
      </c>
      <c r="O135" s="344">
        <v>0</v>
      </c>
      <c r="P135" s="345">
        <v>0</v>
      </c>
      <c r="Q135" s="345">
        <v>0</v>
      </c>
      <c r="R135" s="345">
        <v>0</v>
      </c>
      <c r="S135" s="345">
        <v>0</v>
      </c>
      <c r="T135" s="345">
        <v>0</v>
      </c>
      <c r="U135" s="345">
        <v>0</v>
      </c>
      <c r="V135" s="345">
        <v>0</v>
      </c>
      <c r="W135" s="345">
        <v>0</v>
      </c>
      <c r="X135" s="345">
        <v>0</v>
      </c>
      <c r="Y135" s="380">
        <v>0</v>
      </c>
      <c r="Z135" s="296">
        <f t="shared" si="73"/>
        <v>0</v>
      </c>
      <c r="AA135" s="298">
        <f t="shared" si="74"/>
        <v>0</v>
      </c>
      <c r="AB135" s="948">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49">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6">
        <f t="shared" si="75"/>
        <v>0</v>
      </c>
      <c r="AE135" s="1230">
        <f t="shared" si="68"/>
        <v>0</v>
      </c>
      <c r="AF135" s="1231">
        <f t="shared" si="69"/>
        <v>0</v>
      </c>
      <c r="AG135" s="1231">
        <f t="shared" si="70"/>
        <v>0</v>
      </c>
      <c r="AH135" s="1172">
        <f t="shared" si="76"/>
        <v>0</v>
      </c>
      <c r="AI135" s="1232">
        <f t="shared" si="77"/>
        <v>0</v>
      </c>
      <c r="AJ135" s="227"/>
      <c r="AK135" s="227"/>
      <c r="AL135" s="227"/>
      <c r="AM135" s="227"/>
    </row>
    <row r="136" spans="1:39" ht="13.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71"/>
        <v>0</v>
      </c>
      <c r="N136" s="312">
        <f t="shared" si="72"/>
        <v>0</v>
      </c>
      <c r="O136" s="346">
        <v>0</v>
      </c>
      <c r="P136" s="347">
        <v>0</v>
      </c>
      <c r="Q136" s="347">
        <v>0</v>
      </c>
      <c r="R136" s="347">
        <v>0</v>
      </c>
      <c r="S136" s="347">
        <v>0</v>
      </c>
      <c r="T136" s="347">
        <v>0</v>
      </c>
      <c r="U136" s="347">
        <v>0</v>
      </c>
      <c r="V136" s="347">
        <v>0</v>
      </c>
      <c r="W136" s="347">
        <v>0</v>
      </c>
      <c r="X136" s="347">
        <v>0</v>
      </c>
      <c r="Y136" s="381">
        <v>0</v>
      </c>
      <c r="Z136" s="310">
        <f t="shared" si="73"/>
        <v>0</v>
      </c>
      <c r="AA136" s="312">
        <f t="shared" si="74"/>
        <v>0</v>
      </c>
      <c r="AB136" s="948">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49">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6">
        <f t="shared" si="75"/>
        <v>0</v>
      </c>
      <c r="AE136" s="1230">
        <f t="shared" si="68"/>
        <v>0</v>
      </c>
      <c r="AF136" s="1231">
        <f t="shared" si="69"/>
        <v>0</v>
      </c>
      <c r="AG136" s="1231">
        <f t="shared" si="70"/>
        <v>0</v>
      </c>
      <c r="AH136" s="1172">
        <f t="shared" si="76"/>
        <v>0</v>
      </c>
      <c r="AI136" s="1232">
        <f t="shared" si="77"/>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71"/>
        <v>0</v>
      </c>
      <c r="N137" s="284">
        <f t="shared" si="72"/>
        <v>0</v>
      </c>
      <c r="O137" s="342">
        <v>0</v>
      </c>
      <c r="P137" s="343">
        <v>0</v>
      </c>
      <c r="Q137" s="343">
        <v>0</v>
      </c>
      <c r="R137" s="343">
        <v>0</v>
      </c>
      <c r="S137" s="343">
        <v>0</v>
      </c>
      <c r="T137" s="343">
        <v>0</v>
      </c>
      <c r="U137" s="343">
        <v>0</v>
      </c>
      <c r="V137" s="343">
        <v>0</v>
      </c>
      <c r="W137" s="343">
        <v>0</v>
      </c>
      <c r="X137" s="343">
        <v>0</v>
      </c>
      <c r="Y137" s="379">
        <v>0</v>
      </c>
      <c r="Z137" s="282">
        <f t="shared" si="73"/>
        <v>0</v>
      </c>
      <c r="AA137" s="284">
        <f t="shared" si="74"/>
        <v>0</v>
      </c>
      <c r="AB137" s="948">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49">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6">
        <f t="shared" si="75"/>
        <v>0</v>
      </c>
      <c r="AE137" s="1230">
        <f t="shared" si="68"/>
        <v>0</v>
      </c>
      <c r="AF137" s="1231">
        <f t="shared" si="69"/>
        <v>0</v>
      </c>
      <c r="AG137" s="1231">
        <f t="shared" si="70"/>
        <v>0</v>
      </c>
      <c r="AH137" s="1172">
        <f t="shared" si="76"/>
        <v>0</v>
      </c>
      <c r="AI137" s="1232">
        <f t="shared" si="77"/>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71"/>
        <v>0</v>
      </c>
      <c r="N138" s="298">
        <f t="shared" si="72"/>
        <v>0</v>
      </c>
      <c r="O138" s="344">
        <v>0</v>
      </c>
      <c r="P138" s="345">
        <v>0</v>
      </c>
      <c r="Q138" s="345">
        <v>0</v>
      </c>
      <c r="R138" s="345">
        <v>0</v>
      </c>
      <c r="S138" s="345">
        <v>0</v>
      </c>
      <c r="T138" s="345">
        <v>0</v>
      </c>
      <c r="U138" s="345">
        <v>0</v>
      </c>
      <c r="V138" s="345">
        <v>0</v>
      </c>
      <c r="W138" s="345">
        <v>0</v>
      </c>
      <c r="X138" s="345">
        <v>0</v>
      </c>
      <c r="Y138" s="380">
        <v>0</v>
      </c>
      <c r="Z138" s="296">
        <f t="shared" si="73"/>
        <v>0</v>
      </c>
      <c r="AA138" s="298">
        <f t="shared" si="74"/>
        <v>0</v>
      </c>
      <c r="AB138" s="948">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49">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6">
        <f t="shared" si="75"/>
        <v>0</v>
      </c>
      <c r="AE138" s="1230">
        <f t="shared" si="68"/>
        <v>0</v>
      </c>
      <c r="AF138" s="1231">
        <f t="shared" si="69"/>
        <v>0</v>
      </c>
      <c r="AG138" s="1231">
        <f t="shared" si="70"/>
        <v>0</v>
      </c>
      <c r="AH138" s="1172">
        <f t="shared" si="76"/>
        <v>0</v>
      </c>
      <c r="AI138" s="1232">
        <f t="shared" si="77"/>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71"/>
        <v>0</v>
      </c>
      <c r="N139" s="298">
        <f t="shared" si="72"/>
        <v>0</v>
      </c>
      <c r="O139" s="344">
        <v>0</v>
      </c>
      <c r="P139" s="345">
        <v>0</v>
      </c>
      <c r="Q139" s="345">
        <v>0</v>
      </c>
      <c r="R139" s="345">
        <v>0</v>
      </c>
      <c r="S139" s="345">
        <v>0</v>
      </c>
      <c r="T139" s="345">
        <v>0</v>
      </c>
      <c r="U139" s="345">
        <v>0</v>
      </c>
      <c r="V139" s="345">
        <v>0</v>
      </c>
      <c r="W139" s="345">
        <v>0</v>
      </c>
      <c r="X139" s="345">
        <v>0</v>
      </c>
      <c r="Y139" s="380">
        <v>0</v>
      </c>
      <c r="Z139" s="296">
        <f t="shared" si="73"/>
        <v>0</v>
      </c>
      <c r="AA139" s="298">
        <f t="shared" si="74"/>
        <v>0</v>
      </c>
      <c r="AB139" s="948">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49">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6">
        <f t="shared" si="75"/>
        <v>0</v>
      </c>
      <c r="AE139" s="1230">
        <f t="shared" si="68"/>
        <v>0</v>
      </c>
      <c r="AF139" s="1231">
        <f t="shared" si="69"/>
        <v>0</v>
      </c>
      <c r="AG139" s="1231">
        <f t="shared" si="70"/>
        <v>0</v>
      </c>
      <c r="AH139" s="1172">
        <f t="shared" si="76"/>
        <v>0</v>
      </c>
      <c r="AI139" s="1232">
        <f t="shared" si="77"/>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71"/>
        <v>0</v>
      </c>
      <c r="N140" s="298">
        <f t="shared" si="72"/>
        <v>0</v>
      </c>
      <c r="O140" s="344">
        <v>0</v>
      </c>
      <c r="P140" s="345">
        <v>0</v>
      </c>
      <c r="Q140" s="345">
        <v>0</v>
      </c>
      <c r="R140" s="345">
        <v>0</v>
      </c>
      <c r="S140" s="345">
        <v>0</v>
      </c>
      <c r="T140" s="345">
        <v>0</v>
      </c>
      <c r="U140" s="345">
        <v>0</v>
      </c>
      <c r="V140" s="345">
        <v>0</v>
      </c>
      <c r="W140" s="345">
        <v>0</v>
      </c>
      <c r="X140" s="345">
        <v>0</v>
      </c>
      <c r="Y140" s="380">
        <v>0</v>
      </c>
      <c r="Z140" s="296">
        <f t="shared" si="73"/>
        <v>0</v>
      </c>
      <c r="AA140" s="298">
        <f t="shared" si="74"/>
        <v>0</v>
      </c>
      <c r="AB140" s="948">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49">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6">
        <f t="shared" si="75"/>
        <v>0</v>
      </c>
      <c r="AE140" s="1230">
        <f t="shared" si="68"/>
        <v>0</v>
      </c>
      <c r="AF140" s="1231">
        <f t="shared" si="69"/>
        <v>0</v>
      </c>
      <c r="AG140" s="1231">
        <f t="shared" si="70"/>
        <v>0</v>
      </c>
      <c r="AH140" s="1172">
        <f t="shared" si="76"/>
        <v>0</v>
      </c>
      <c r="AI140" s="1232">
        <f t="shared" si="77"/>
        <v>0</v>
      </c>
      <c r="AJ140" s="227"/>
      <c r="AK140" s="227"/>
      <c r="AL140" s="227"/>
      <c r="AM140" s="227"/>
    </row>
    <row r="141" spans="1:39" ht="13.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71"/>
        <v>0</v>
      </c>
      <c r="N141" s="312">
        <f t="shared" si="72"/>
        <v>0</v>
      </c>
      <c r="O141" s="346">
        <v>0</v>
      </c>
      <c r="P141" s="347">
        <v>0</v>
      </c>
      <c r="Q141" s="347">
        <v>0</v>
      </c>
      <c r="R141" s="347">
        <v>0</v>
      </c>
      <c r="S141" s="347">
        <v>0</v>
      </c>
      <c r="T141" s="347">
        <v>0</v>
      </c>
      <c r="U141" s="347">
        <v>0</v>
      </c>
      <c r="V141" s="347">
        <v>0</v>
      </c>
      <c r="W141" s="347">
        <v>0</v>
      </c>
      <c r="X141" s="347">
        <v>0</v>
      </c>
      <c r="Y141" s="381">
        <v>0</v>
      </c>
      <c r="Z141" s="310">
        <f t="shared" si="73"/>
        <v>0</v>
      </c>
      <c r="AA141" s="312">
        <f t="shared" si="74"/>
        <v>0</v>
      </c>
      <c r="AB141" s="948">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49">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6">
        <f t="shared" si="75"/>
        <v>0</v>
      </c>
      <c r="AE141" s="1230">
        <f t="shared" si="68"/>
        <v>0</v>
      </c>
      <c r="AF141" s="1231">
        <f t="shared" si="69"/>
        <v>0</v>
      </c>
      <c r="AG141" s="1231">
        <f t="shared" si="70"/>
        <v>0</v>
      </c>
      <c r="AH141" s="1172">
        <f t="shared" si="76"/>
        <v>0</v>
      </c>
      <c r="AI141" s="1232">
        <f t="shared" si="77"/>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71"/>
        <v>0</v>
      </c>
      <c r="N142" s="284">
        <f t="shared" si="72"/>
        <v>0</v>
      </c>
      <c r="O142" s="342">
        <v>0</v>
      </c>
      <c r="P142" s="343">
        <v>0</v>
      </c>
      <c r="Q142" s="343">
        <v>0</v>
      </c>
      <c r="R142" s="343">
        <v>0</v>
      </c>
      <c r="S142" s="343">
        <v>0</v>
      </c>
      <c r="T142" s="343">
        <v>0</v>
      </c>
      <c r="U142" s="343">
        <v>0</v>
      </c>
      <c r="V142" s="343">
        <v>0</v>
      </c>
      <c r="W142" s="343">
        <v>0</v>
      </c>
      <c r="X142" s="343">
        <v>0</v>
      </c>
      <c r="Y142" s="379">
        <v>0</v>
      </c>
      <c r="Z142" s="282">
        <f t="shared" si="73"/>
        <v>0</v>
      </c>
      <c r="AA142" s="284">
        <f t="shared" si="74"/>
        <v>0</v>
      </c>
      <c r="AB142" s="948">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49">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6">
        <f t="shared" si="75"/>
        <v>0</v>
      </c>
      <c r="AE142" s="1230">
        <f t="shared" si="68"/>
        <v>0</v>
      </c>
      <c r="AF142" s="1231">
        <f t="shared" si="69"/>
        <v>0</v>
      </c>
      <c r="AG142" s="1231">
        <f t="shared" si="70"/>
        <v>0</v>
      </c>
      <c r="AH142" s="1172">
        <f t="shared" si="76"/>
        <v>0</v>
      </c>
      <c r="AI142" s="1232">
        <f t="shared" si="77"/>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71"/>
        <v>0</v>
      </c>
      <c r="N143" s="298">
        <f t="shared" si="72"/>
        <v>0</v>
      </c>
      <c r="O143" s="344">
        <v>0</v>
      </c>
      <c r="P143" s="345">
        <v>0</v>
      </c>
      <c r="Q143" s="345">
        <v>0</v>
      </c>
      <c r="R143" s="345">
        <v>0</v>
      </c>
      <c r="S143" s="345">
        <v>0</v>
      </c>
      <c r="T143" s="345">
        <v>0</v>
      </c>
      <c r="U143" s="345">
        <v>0</v>
      </c>
      <c r="V143" s="345">
        <v>0</v>
      </c>
      <c r="W143" s="345">
        <v>0</v>
      </c>
      <c r="X143" s="345">
        <v>0</v>
      </c>
      <c r="Y143" s="380">
        <v>0</v>
      </c>
      <c r="Z143" s="296">
        <f t="shared" si="73"/>
        <v>0</v>
      </c>
      <c r="AA143" s="298">
        <f t="shared" si="74"/>
        <v>0</v>
      </c>
      <c r="AB143" s="948">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49">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6">
        <f t="shared" si="75"/>
        <v>0</v>
      </c>
      <c r="AE143" s="1230">
        <f>SUMPRODUCT($B$74:$L$74,B143:L143)</f>
        <v>0</v>
      </c>
      <c r="AF143" s="1231">
        <f>SUMPRODUCT($O$74:$Y$74,O143:Y143)</f>
        <v>0</v>
      </c>
      <c r="AG143" s="1231">
        <f>SUM(AE143:AF143)</f>
        <v>0</v>
      </c>
      <c r="AH143" s="1172">
        <f t="shared" si="76"/>
        <v>0</v>
      </c>
      <c r="AI143" s="1232">
        <f t="shared" si="77"/>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71"/>
        <v>0</v>
      </c>
      <c r="N144" s="298">
        <f t="shared" si="72"/>
        <v>0</v>
      </c>
      <c r="O144" s="344">
        <v>0</v>
      </c>
      <c r="P144" s="345">
        <v>0</v>
      </c>
      <c r="Q144" s="345">
        <v>0</v>
      </c>
      <c r="R144" s="345">
        <v>0</v>
      </c>
      <c r="S144" s="345">
        <v>0</v>
      </c>
      <c r="T144" s="345">
        <v>0</v>
      </c>
      <c r="U144" s="345">
        <v>0</v>
      </c>
      <c r="V144" s="345">
        <v>0</v>
      </c>
      <c r="W144" s="345">
        <v>0</v>
      </c>
      <c r="X144" s="345">
        <v>0</v>
      </c>
      <c r="Y144" s="380">
        <v>0</v>
      </c>
      <c r="Z144" s="296">
        <f t="shared" si="73"/>
        <v>0</v>
      </c>
      <c r="AA144" s="298">
        <f t="shared" si="74"/>
        <v>0</v>
      </c>
      <c r="AB144" s="948">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49">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6">
        <f t="shared" si="75"/>
        <v>0</v>
      </c>
      <c r="AE144" s="1230">
        <f t="shared" ref="AE144:AE171" si="78">SUMPRODUCT($B$74:$L$74,B144:L144)</f>
        <v>0</v>
      </c>
      <c r="AF144" s="1231">
        <f t="shared" ref="AF144:AF171" si="79">SUMPRODUCT($O$74:$Y$74,O144:Y144)</f>
        <v>0</v>
      </c>
      <c r="AG144" s="1231">
        <f t="shared" ref="AG144:AG171" si="80">SUM(AE144:AF144)</f>
        <v>0</v>
      </c>
      <c r="AH144" s="1172">
        <f t="shared" si="76"/>
        <v>0</v>
      </c>
      <c r="AI144" s="1232">
        <f t="shared" si="77"/>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71"/>
        <v>0</v>
      </c>
      <c r="N145" s="298">
        <f t="shared" si="72"/>
        <v>0</v>
      </c>
      <c r="O145" s="344">
        <v>0</v>
      </c>
      <c r="P145" s="345">
        <v>0</v>
      </c>
      <c r="Q145" s="345">
        <v>0</v>
      </c>
      <c r="R145" s="345">
        <v>0</v>
      </c>
      <c r="S145" s="345">
        <v>0</v>
      </c>
      <c r="T145" s="345">
        <v>0</v>
      </c>
      <c r="U145" s="345">
        <v>0</v>
      </c>
      <c r="V145" s="345">
        <v>0</v>
      </c>
      <c r="W145" s="345">
        <v>0</v>
      </c>
      <c r="X145" s="345">
        <v>0</v>
      </c>
      <c r="Y145" s="380">
        <v>0</v>
      </c>
      <c r="Z145" s="296">
        <f t="shared" si="73"/>
        <v>0</v>
      </c>
      <c r="AA145" s="298">
        <f t="shared" si="74"/>
        <v>0</v>
      </c>
      <c r="AB145" s="948">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49">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6">
        <f t="shared" si="75"/>
        <v>0</v>
      </c>
      <c r="AE145" s="1230">
        <f t="shared" si="78"/>
        <v>0</v>
      </c>
      <c r="AF145" s="1231">
        <f t="shared" si="79"/>
        <v>0</v>
      </c>
      <c r="AG145" s="1231">
        <f t="shared" si="80"/>
        <v>0</v>
      </c>
      <c r="AH145" s="1172">
        <f t="shared" si="76"/>
        <v>0</v>
      </c>
      <c r="AI145" s="1232">
        <f t="shared" si="77"/>
        <v>0</v>
      </c>
      <c r="AJ145" s="227"/>
      <c r="AK145" s="227"/>
      <c r="AL145" s="227"/>
      <c r="AM145" s="227"/>
    </row>
    <row r="146" spans="1:39" ht="13.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71"/>
        <v>0</v>
      </c>
      <c r="N146" s="312">
        <f t="shared" si="72"/>
        <v>0</v>
      </c>
      <c r="O146" s="346">
        <v>0</v>
      </c>
      <c r="P146" s="347">
        <v>0</v>
      </c>
      <c r="Q146" s="347">
        <v>0</v>
      </c>
      <c r="R146" s="347">
        <v>0</v>
      </c>
      <c r="S146" s="347">
        <v>0</v>
      </c>
      <c r="T146" s="347">
        <v>0</v>
      </c>
      <c r="U146" s="347">
        <v>0</v>
      </c>
      <c r="V146" s="347">
        <v>0</v>
      </c>
      <c r="W146" s="347">
        <v>0</v>
      </c>
      <c r="X146" s="347">
        <v>0</v>
      </c>
      <c r="Y146" s="381">
        <v>0</v>
      </c>
      <c r="Z146" s="310">
        <f t="shared" si="73"/>
        <v>0</v>
      </c>
      <c r="AA146" s="312">
        <f t="shared" si="74"/>
        <v>0</v>
      </c>
      <c r="AB146" s="948">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49">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6">
        <f t="shared" si="75"/>
        <v>0</v>
      </c>
      <c r="AE146" s="1230">
        <f t="shared" si="78"/>
        <v>0</v>
      </c>
      <c r="AF146" s="1231">
        <f t="shared" si="79"/>
        <v>0</v>
      </c>
      <c r="AG146" s="1231">
        <f t="shared" si="80"/>
        <v>0</v>
      </c>
      <c r="AH146" s="1172">
        <f t="shared" si="76"/>
        <v>0</v>
      </c>
      <c r="AI146" s="1232">
        <f t="shared" si="77"/>
        <v>0</v>
      </c>
      <c r="AJ146" s="227"/>
      <c r="AK146" s="227"/>
      <c r="AL146" s="227"/>
      <c r="AM146" s="227"/>
    </row>
    <row r="147" spans="1:39" x14ac:dyDescent="0.2">
      <c r="A147" s="329">
        <v>2026</v>
      </c>
      <c r="B147" s="342">
        <v>4.251377358622869E-3</v>
      </c>
      <c r="C147" s="343">
        <v>2.0184408777200045E-2</v>
      </c>
      <c r="D147" s="343">
        <v>2.2858999055596151E-2</v>
      </c>
      <c r="E147" s="343">
        <v>2.3524002060327662E-2</v>
      </c>
      <c r="F147" s="343">
        <v>2.3562866188180771E-2</v>
      </c>
      <c r="G147" s="343">
        <v>2.3562866188180771E-2</v>
      </c>
      <c r="H147" s="343">
        <v>2.3562866188180771E-2</v>
      </c>
      <c r="I147" s="343">
        <v>2.3562866188180771E-2</v>
      </c>
      <c r="J147" s="343">
        <v>2.3562866188180771E-2</v>
      </c>
      <c r="K147" s="343">
        <v>2.3562866188180771E-2</v>
      </c>
      <c r="L147" s="379">
        <v>2.3562866188180771E-2</v>
      </c>
      <c r="M147" s="282">
        <f t="shared" si="71"/>
        <v>7.399440915996057E-3</v>
      </c>
      <c r="N147" s="284">
        <f t="shared" si="72"/>
        <v>5.3709381514888757E-3</v>
      </c>
      <c r="O147" s="342">
        <v>3.4812330822810724E-3</v>
      </c>
      <c r="P147" s="343">
        <v>2.0668515571709532E-2</v>
      </c>
      <c r="Q147" s="343">
        <v>2.3091726071821285E-2</v>
      </c>
      <c r="R147" s="343">
        <v>2.3524002060327662E-2</v>
      </c>
      <c r="S147" s="343">
        <v>2.3562866188180771E-2</v>
      </c>
      <c r="T147" s="343">
        <v>2.3562866188180771E-2</v>
      </c>
      <c r="U147" s="343">
        <v>2.3562866188180771E-2</v>
      </c>
      <c r="V147" s="343">
        <v>2.3562866188180771E-2</v>
      </c>
      <c r="W147" s="343">
        <v>2.3562866188180771E-2</v>
      </c>
      <c r="X147" s="343">
        <v>2.3562866188180771E-2</v>
      </c>
      <c r="Y147" s="379">
        <v>2.3562866188180771E-2</v>
      </c>
      <c r="Z147" s="282">
        <f t="shared" si="73"/>
        <v>1.1024926145272692E-2</v>
      </c>
      <c r="AA147" s="284">
        <f t="shared" si="74"/>
        <v>8.2416932172636615E-3</v>
      </c>
      <c r="AB147" s="948">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49">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6">
        <f t="shared" si="75"/>
        <v>0</v>
      </c>
      <c r="AE147" s="1230">
        <f t="shared" si="78"/>
        <v>7.399440915996057E-3</v>
      </c>
      <c r="AF147" s="1231">
        <f t="shared" si="79"/>
        <v>1.1024926145272692E-2</v>
      </c>
      <c r="AG147" s="1231">
        <f t="shared" si="80"/>
        <v>1.8424367061268751E-2</v>
      </c>
      <c r="AH147" s="1172">
        <f t="shared" si="76"/>
        <v>0.40161167498399325</v>
      </c>
      <c r="AI147" s="1232">
        <f t="shared" si="77"/>
        <v>0.59838832501600658</v>
      </c>
      <c r="AJ147" s="227"/>
      <c r="AK147" s="227"/>
      <c r="AL147" s="227"/>
      <c r="AM147" s="227"/>
    </row>
    <row r="148" spans="1:39" x14ac:dyDescent="0.2">
      <c r="A148" s="330">
        <v>2027</v>
      </c>
      <c r="B148" s="344">
        <v>1.1661301098732235E-2</v>
      </c>
      <c r="C148" s="345">
        <v>5.1913752008915313E-2</v>
      </c>
      <c r="D148" s="345">
        <v>5.8079323872272028E-2</v>
      </c>
      <c r="E148" s="345">
        <v>5.9165850085666001E-2</v>
      </c>
      <c r="F148" s="345">
        <v>5.9263533829207869E-2</v>
      </c>
      <c r="G148" s="345">
        <v>5.9263533829207869E-2</v>
      </c>
      <c r="H148" s="345">
        <v>5.9263533829207869E-2</v>
      </c>
      <c r="I148" s="345">
        <v>5.9263533829207869E-2</v>
      </c>
      <c r="J148" s="345">
        <v>5.9263533829207869E-2</v>
      </c>
      <c r="K148" s="345">
        <v>5.9263533829207869E-2</v>
      </c>
      <c r="L148" s="380">
        <v>5.9263533829207869E-2</v>
      </c>
      <c r="M148" s="296">
        <f t="shared" si="71"/>
        <v>1.8907480802321484E-2</v>
      </c>
      <c r="N148" s="298">
        <f t="shared" si="72"/>
        <v>1.3860460863281481E-2</v>
      </c>
      <c r="O148" s="344">
        <v>1.0610956335914263E-2</v>
      </c>
      <c r="P148" s="345">
        <v>5.304787163896308E-2</v>
      </c>
      <c r="Q148" s="345">
        <v>5.8079323872272028E-2</v>
      </c>
      <c r="R148" s="345">
        <v>5.9165850085666001E-2</v>
      </c>
      <c r="S148" s="345">
        <v>5.9263533829207869E-2</v>
      </c>
      <c r="T148" s="345">
        <v>5.9263533829207869E-2</v>
      </c>
      <c r="U148" s="345">
        <v>5.9263533829207869E-2</v>
      </c>
      <c r="V148" s="345">
        <v>5.9263533829207869E-2</v>
      </c>
      <c r="W148" s="345">
        <v>5.9263533829207869E-2</v>
      </c>
      <c r="X148" s="345">
        <v>5.9263533829207869E-2</v>
      </c>
      <c r="Y148" s="380">
        <v>5.9263533829207869E-2</v>
      </c>
      <c r="Z148" s="296">
        <f t="shared" si="73"/>
        <v>2.8229276216489411E-2</v>
      </c>
      <c r="AA148" s="298">
        <f t="shared" si="74"/>
        <v>2.1508332314671523E-2</v>
      </c>
      <c r="AB148" s="948">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49">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6">
        <f t="shared" si="75"/>
        <v>0</v>
      </c>
      <c r="AE148" s="1230">
        <f t="shared" si="78"/>
        <v>1.8907480802321484E-2</v>
      </c>
      <c r="AF148" s="1231">
        <f t="shared" si="79"/>
        <v>2.8229276216489411E-2</v>
      </c>
      <c r="AG148" s="1231">
        <f t="shared" si="80"/>
        <v>4.7136757018810899E-2</v>
      </c>
      <c r="AH148" s="1172">
        <f t="shared" si="76"/>
        <v>0.40111967810547644</v>
      </c>
      <c r="AI148" s="1232">
        <f t="shared" si="77"/>
        <v>0.59888032189452345</v>
      </c>
      <c r="AJ148" s="227"/>
      <c r="AK148" s="227"/>
      <c r="AL148" s="227"/>
      <c r="AM148" s="227"/>
    </row>
    <row r="149" spans="1:39" x14ac:dyDescent="0.2">
      <c r="A149" s="330">
        <v>2028</v>
      </c>
      <c r="B149" s="344">
        <v>2.8398527849573262E-2</v>
      </c>
      <c r="C149" s="345">
        <v>0.12431739293258473</v>
      </c>
      <c r="D149" s="345">
        <v>0.1351936734935727</v>
      </c>
      <c r="E149" s="345">
        <v>0.13394589404075841</v>
      </c>
      <c r="F149" s="345">
        <v>0.13283974603827164</v>
      </c>
      <c r="G149" s="345">
        <v>0.13337995236477854</v>
      </c>
      <c r="H149" s="345">
        <v>0.13359757964122493</v>
      </c>
      <c r="I149" s="345">
        <v>0.13359757964122493</v>
      </c>
      <c r="J149" s="345">
        <v>0.13359757964122493</v>
      </c>
      <c r="K149" s="345">
        <v>0.13359757964122493</v>
      </c>
      <c r="L149" s="380">
        <v>0.13359757964122493</v>
      </c>
      <c r="M149" s="296">
        <f t="shared" si="71"/>
        <v>4.4266685158708699E-2</v>
      </c>
      <c r="N149" s="298">
        <f t="shared" si="72"/>
        <v>3.2846748776410022E-2</v>
      </c>
      <c r="O149" s="344">
        <v>2.5771846942361579E-2</v>
      </c>
      <c r="P149" s="345">
        <v>0.12806994872504102</v>
      </c>
      <c r="Q149" s="345">
        <v>0.13311361275000796</v>
      </c>
      <c r="R149" s="345">
        <v>0.13288282521717631</v>
      </c>
      <c r="S149" s="345">
        <v>0.13283974603827164</v>
      </c>
      <c r="T149" s="345">
        <v>0.13359757964122493</v>
      </c>
      <c r="U149" s="345">
        <v>0.13359757964122493</v>
      </c>
      <c r="V149" s="345">
        <v>0.13359757964122493</v>
      </c>
      <c r="W149" s="345">
        <v>0.13359757964122493</v>
      </c>
      <c r="X149" s="345">
        <v>0.13359757964122493</v>
      </c>
      <c r="Y149" s="380">
        <v>0.1335766610135492</v>
      </c>
      <c r="Z149" s="296">
        <f t="shared" si="73"/>
        <v>6.6280612203285988E-2</v>
      </c>
      <c r="AA149" s="298">
        <f t="shared" si="74"/>
        <v>5.1251632283939405E-2</v>
      </c>
      <c r="AB149" s="948">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49">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6">
        <f t="shared" si="75"/>
        <v>0</v>
      </c>
      <c r="AE149" s="1230">
        <f t="shared" si="78"/>
        <v>4.4266685158708699E-2</v>
      </c>
      <c r="AF149" s="1231">
        <f t="shared" si="79"/>
        <v>6.6280612203285988E-2</v>
      </c>
      <c r="AG149" s="1231">
        <f t="shared" si="80"/>
        <v>0.11054729736199469</v>
      </c>
      <c r="AH149" s="1172">
        <f t="shared" si="76"/>
        <v>0.40043208848204048</v>
      </c>
      <c r="AI149" s="1232">
        <f t="shared" si="77"/>
        <v>0.59956791151795952</v>
      </c>
      <c r="AJ149" s="227"/>
      <c r="AK149" s="227"/>
      <c r="AL149" s="227"/>
      <c r="AM149" s="227"/>
    </row>
    <row r="150" spans="1:39" x14ac:dyDescent="0.2">
      <c r="A150" s="330">
        <v>2029</v>
      </c>
      <c r="B150" s="344">
        <v>4.4927120387187283E-2</v>
      </c>
      <c r="C150" s="345">
        <v>0.34902234737140719</v>
      </c>
      <c r="D150" s="345">
        <v>0.32613988116269749</v>
      </c>
      <c r="E150" s="345">
        <v>0.28439879507286114</v>
      </c>
      <c r="F150" s="345">
        <v>0.27058284032003083</v>
      </c>
      <c r="G150" s="345">
        <v>0.25856162137533645</v>
      </c>
      <c r="H150" s="345">
        <v>0.25004803585527302</v>
      </c>
      <c r="I150" s="345">
        <v>0.24806649163983921</v>
      </c>
      <c r="J150" s="345">
        <v>0.24684336255752393</v>
      </c>
      <c r="K150" s="345">
        <v>0.24784702924715055</v>
      </c>
      <c r="L150" s="380">
        <v>0.24784702924715055</v>
      </c>
      <c r="M150" s="296">
        <f t="shared" si="71"/>
        <v>0.10824643504989877</v>
      </c>
      <c r="N150" s="298">
        <f t="shared" si="72"/>
        <v>8.1034496240967147E-2</v>
      </c>
      <c r="O150" s="344">
        <v>4.0177698151622671E-2</v>
      </c>
      <c r="P150" s="345">
        <v>0.35925277613803092</v>
      </c>
      <c r="Q150" s="345">
        <v>0.32038855193856614</v>
      </c>
      <c r="R150" s="345">
        <v>0.27904361064701694</v>
      </c>
      <c r="S150" s="345">
        <v>0.26620972710156388</v>
      </c>
      <c r="T150" s="345">
        <v>0.25531422456288283</v>
      </c>
      <c r="U150" s="345">
        <v>0.25004803585527302</v>
      </c>
      <c r="V150" s="345">
        <v>0.24806649163983921</v>
      </c>
      <c r="W150" s="345">
        <v>0.24783424237594037</v>
      </c>
      <c r="X150" s="345">
        <v>0.24779367296004584</v>
      </c>
      <c r="Y150" s="380">
        <v>0.24784070382227336</v>
      </c>
      <c r="Z150" s="296">
        <f t="shared" si="73"/>
        <v>0.16347216018375921</v>
      </c>
      <c r="AA150" s="298">
        <f t="shared" si="74"/>
        <v>0.12844407552513112</v>
      </c>
      <c r="AB150" s="948">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49">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6">
        <f t="shared" si="75"/>
        <v>0</v>
      </c>
      <c r="AE150" s="1230">
        <f t="shared" si="78"/>
        <v>0.10824643504989877</v>
      </c>
      <c r="AF150" s="1231">
        <f t="shared" si="79"/>
        <v>0.16347216018375921</v>
      </c>
      <c r="AG150" s="1231">
        <f t="shared" si="80"/>
        <v>0.27171859523365799</v>
      </c>
      <c r="AH150" s="1172">
        <f t="shared" si="76"/>
        <v>0.39837698614927258</v>
      </c>
      <c r="AI150" s="1232">
        <f t="shared" si="77"/>
        <v>0.60162301385072736</v>
      </c>
      <c r="AJ150" s="227"/>
      <c r="AK150" s="227"/>
      <c r="AL150" s="227"/>
      <c r="AM150" s="227"/>
    </row>
    <row r="151" spans="1:39" ht="13.5" thickBot="1" x14ac:dyDescent="0.25">
      <c r="A151" s="328">
        <v>2030</v>
      </c>
      <c r="B151" s="346">
        <v>5.8710748841690107E-2</v>
      </c>
      <c r="C151" s="347">
        <v>0.541016344584756</v>
      </c>
      <c r="D151" s="347">
        <v>0.6647121533510667</v>
      </c>
      <c r="E151" s="347">
        <v>0.57956660156938622</v>
      </c>
      <c r="F151" s="347">
        <v>0.51458160680803233</v>
      </c>
      <c r="G151" s="347">
        <v>0.46271032270078555</v>
      </c>
      <c r="H151" s="347">
        <v>0.40965041688993231</v>
      </c>
      <c r="I151" s="347">
        <v>0.39536775961169129</v>
      </c>
      <c r="J151" s="347">
        <v>0.38311516272115481</v>
      </c>
      <c r="K151" s="347">
        <v>0.37299984864940172</v>
      </c>
      <c r="L151" s="381">
        <v>0.37299984864940172</v>
      </c>
      <c r="M151" s="310">
        <f t="shared" si="71"/>
        <v>0.18975564014032323</v>
      </c>
      <c r="N151" s="312">
        <f t="shared" si="72"/>
        <v>0.13502044461048324</v>
      </c>
      <c r="O151" s="346">
        <v>4.6637415976966821E-2</v>
      </c>
      <c r="P151" s="347">
        <v>0.541016344584756</v>
      </c>
      <c r="Q151" s="347">
        <v>0.66503942252191306</v>
      </c>
      <c r="R151" s="347">
        <v>0.56517827971180601</v>
      </c>
      <c r="S151" s="347">
        <v>0.49337155363611501</v>
      </c>
      <c r="T151" s="347">
        <v>0.44355454314985854</v>
      </c>
      <c r="U151" s="347">
        <v>0.40965041688993231</v>
      </c>
      <c r="V151" s="347">
        <v>0.38889102930824954</v>
      </c>
      <c r="W151" s="347">
        <v>0.37724512821986883</v>
      </c>
      <c r="X151" s="347">
        <v>0.37179214411030703</v>
      </c>
      <c r="Y151" s="381">
        <v>0.36120665540420605</v>
      </c>
      <c r="Z151" s="310">
        <f t="shared" si="73"/>
        <v>0.27169313560151931</v>
      </c>
      <c r="AA151" s="312">
        <f t="shared" si="74"/>
        <v>0.20226971059067678</v>
      </c>
      <c r="AB151" s="948">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49">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6">
        <f t="shared" si="75"/>
        <v>0</v>
      </c>
      <c r="AE151" s="1230">
        <f t="shared" si="78"/>
        <v>0.18975564014032323</v>
      </c>
      <c r="AF151" s="1231">
        <f t="shared" si="79"/>
        <v>0.27169313560151931</v>
      </c>
      <c r="AG151" s="1231">
        <f t="shared" si="80"/>
        <v>0.46144877574184251</v>
      </c>
      <c r="AH151" s="1172">
        <f t="shared" si="76"/>
        <v>0.41121712769800911</v>
      </c>
      <c r="AI151" s="1232">
        <f t="shared" si="77"/>
        <v>0.58878287230199089</v>
      </c>
      <c r="AJ151" s="227"/>
      <c r="AK151" s="227"/>
      <c r="AL151" s="227"/>
      <c r="AM151" s="227"/>
    </row>
    <row r="152" spans="1:39" x14ac:dyDescent="0.2">
      <c r="A152" s="329">
        <v>2031</v>
      </c>
      <c r="B152" s="342">
        <v>5.6170287427352833E-2</v>
      </c>
      <c r="C152" s="343">
        <v>0.62323895478805558</v>
      </c>
      <c r="D152" s="343">
        <v>0.79962240398164153</v>
      </c>
      <c r="E152" s="343">
        <v>0.85850621731857923</v>
      </c>
      <c r="F152" s="343">
        <v>0.86772199151213625</v>
      </c>
      <c r="G152" s="343">
        <v>0.86183207028858355</v>
      </c>
      <c r="H152" s="343">
        <v>0.80219811708350941</v>
      </c>
      <c r="I152" s="343">
        <v>0.76108954574190824</v>
      </c>
      <c r="J152" s="343">
        <v>0.7074164074817143</v>
      </c>
      <c r="K152" s="343">
        <v>0.63142808780407134</v>
      </c>
      <c r="L152" s="379">
        <v>0.63142808780407134</v>
      </c>
      <c r="M152" s="282">
        <f t="shared" si="71"/>
        <v>0.24099037254994582</v>
      </c>
      <c r="N152" s="284">
        <f t="shared" si="72"/>
        <v>0.16164817887879976</v>
      </c>
      <c r="O152" s="342">
        <v>4.4222190044814792E-2</v>
      </c>
      <c r="P152" s="343">
        <v>0.65160221555220765</v>
      </c>
      <c r="Q152" s="343">
        <v>0.81828582345257761</v>
      </c>
      <c r="R152" s="343">
        <v>0.86552026106494417</v>
      </c>
      <c r="S152" s="343">
        <v>0.8668236374150029</v>
      </c>
      <c r="T152" s="343">
        <v>0.85288206891065521</v>
      </c>
      <c r="U152" s="343">
        <v>0.80203538299462118</v>
      </c>
      <c r="V152" s="343">
        <v>0.72889909086943938</v>
      </c>
      <c r="W152" s="343">
        <v>0.66617526212282452</v>
      </c>
      <c r="X152" s="343">
        <v>0.62474881121100323</v>
      </c>
      <c r="Y152" s="379">
        <v>0.55409065727228102</v>
      </c>
      <c r="Z152" s="282">
        <f t="shared" si="73"/>
        <v>0.35870759743332259</v>
      </c>
      <c r="AA152" s="284">
        <f t="shared" si="74"/>
        <v>0.25001438112971919</v>
      </c>
      <c r="AB152" s="948">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49">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6">
        <f t="shared" si="75"/>
        <v>0</v>
      </c>
      <c r="AE152" s="1230">
        <f t="shared" si="78"/>
        <v>0.24099037254994582</v>
      </c>
      <c r="AF152" s="1231">
        <f t="shared" si="79"/>
        <v>0.35870759743332259</v>
      </c>
      <c r="AG152" s="1231">
        <f t="shared" si="80"/>
        <v>0.59969796998326841</v>
      </c>
      <c r="AH152" s="1172">
        <f t="shared" si="76"/>
        <v>0.40185290698360954</v>
      </c>
      <c r="AI152" s="1232">
        <f t="shared" si="77"/>
        <v>0.59814709301639046</v>
      </c>
      <c r="AJ152" s="227"/>
      <c r="AK152" s="227"/>
      <c r="AL152" s="227"/>
      <c r="AM152" s="227"/>
    </row>
    <row r="153" spans="1:39" x14ac:dyDescent="0.2">
      <c r="A153" s="330">
        <v>2032</v>
      </c>
      <c r="B153" s="344">
        <v>6.0733180366974282E-2</v>
      </c>
      <c r="C153" s="345">
        <v>0.67386665773825749</v>
      </c>
      <c r="D153" s="345">
        <v>0.88475781028819955</v>
      </c>
      <c r="E153" s="345">
        <v>0.92824543598806553</v>
      </c>
      <c r="F153" s="345">
        <v>0.93445517879551798</v>
      </c>
      <c r="G153" s="345">
        <v>0.91395536444250802</v>
      </c>
      <c r="H153" s="345">
        <v>0.81227464185762377</v>
      </c>
      <c r="I153" s="345">
        <v>0.76467075222660164</v>
      </c>
      <c r="J153" s="345">
        <v>0.69651680745099709</v>
      </c>
      <c r="K153" s="345">
        <v>0.6237067433560709</v>
      </c>
      <c r="L153" s="380">
        <v>0.6237067433560709</v>
      </c>
      <c r="M153" s="296">
        <f t="shared" si="71"/>
        <v>0.26124152148562091</v>
      </c>
      <c r="N153" s="298">
        <f t="shared" si="72"/>
        <v>0.17558401620067726</v>
      </c>
      <c r="O153" s="344">
        <v>4.7814500641249869E-2</v>
      </c>
      <c r="P153" s="345">
        <v>0.70453395731390334</v>
      </c>
      <c r="Q153" s="345">
        <v>0.88475781028819955</v>
      </c>
      <c r="R153" s="345">
        <v>0.93543010263260939</v>
      </c>
      <c r="S153" s="345">
        <v>0.93070128044122624</v>
      </c>
      <c r="T153" s="345">
        <v>0.89278270781061386</v>
      </c>
      <c r="U153" s="345">
        <v>0.8111195783189481</v>
      </c>
      <c r="V153" s="345">
        <v>0.73336723906311851</v>
      </c>
      <c r="W153" s="345">
        <v>0.65812498530245489</v>
      </c>
      <c r="X153" s="345">
        <v>0.61277060395961935</v>
      </c>
      <c r="Y153" s="380">
        <v>0.55156496872138006</v>
      </c>
      <c r="Z153" s="296">
        <f t="shared" si="73"/>
        <v>0.38486925526060362</v>
      </c>
      <c r="AA153" s="298">
        <f t="shared" si="74"/>
        <v>0.26972041758033938</v>
      </c>
      <c r="AB153" s="948">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49">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6">
        <f t="shared" si="75"/>
        <v>0</v>
      </c>
      <c r="AE153" s="1230">
        <f t="shared" si="78"/>
        <v>0.26124152148562091</v>
      </c>
      <c r="AF153" s="1231">
        <f t="shared" si="79"/>
        <v>0.38486925526060362</v>
      </c>
      <c r="AG153" s="1231">
        <f t="shared" si="80"/>
        <v>0.64611077674622452</v>
      </c>
      <c r="AH153" s="1172">
        <f t="shared" si="76"/>
        <v>0.40432930526436611</v>
      </c>
      <c r="AI153" s="1232">
        <f t="shared" si="77"/>
        <v>0.59567069473563394</v>
      </c>
      <c r="AJ153" s="227"/>
      <c r="AK153" s="227"/>
      <c r="AL153" s="227"/>
      <c r="AM153" s="227"/>
    </row>
    <row r="154" spans="1:39" x14ac:dyDescent="0.2">
      <c r="A154" s="330">
        <v>2033</v>
      </c>
      <c r="B154" s="344">
        <v>7.0319683440769901E-2</v>
      </c>
      <c r="C154" s="345">
        <v>0.69461721932871312</v>
      </c>
      <c r="D154" s="345">
        <v>0.91200240122350751</v>
      </c>
      <c r="E154" s="345">
        <v>0.95682915335906416</v>
      </c>
      <c r="F154" s="345">
        <v>0.96448268889818289</v>
      </c>
      <c r="G154" s="345">
        <v>0.94805600650553468</v>
      </c>
      <c r="H154" s="345">
        <v>0.84730112870702357</v>
      </c>
      <c r="I154" s="345">
        <v>0.79861216012013636</v>
      </c>
      <c r="J154" s="345">
        <v>0.72577475798565927</v>
      </c>
      <c r="K154" s="345">
        <v>0.64631618531643464</v>
      </c>
      <c r="L154" s="380">
        <v>0.64631618531643464</v>
      </c>
      <c r="M154" s="296">
        <f t="shared" si="71"/>
        <v>0.27005021016623343</v>
      </c>
      <c r="N154" s="298">
        <f t="shared" si="72"/>
        <v>0.18230389782274589</v>
      </c>
      <c r="O154" s="344">
        <v>5.5609310809071423E-2</v>
      </c>
      <c r="P154" s="345">
        <v>0.72622886550668719</v>
      </c>
      <c r="Q154" s="345">
        <v>0.91200240122350751</v>
      </c>
      <c r="R154" s="345">
        <v>0.964364301447033</v>
      </c>
      <c r="S154" s="345">
        <v>0.96053548127722022</v>
      </c>
      <c r="T154" s="345">
        <v>0.92477385946150648</v>
      </c>
      <c r="U154" s="345">
        <v>0.84270104645633015</v>
      </c>
      <c r="V154" s="345">
        <v>0.74642657283243385</v>
      </c>
      <c r="W154" s="345">
        <v>0.66506297247208623</v>
      </c>
      <c r="X154" s="345">
        <v>0.63135817096926705</v>
      </c>
      <c r="Y154" s="380">
        <v>0.55532928514945679</v>
      </c>
      <c r="Z154" s="296">
        <f t="shared" si="73"/>
        <v>0.39740232404859804</v>
      </c>
      <c r="AA154" s="298">
        <f t="shared" si="74"/>
        <v>0.27975906683612067</v>
      </c>
      <c r="AB154" s="948">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49">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6">
        <f>AB154*AH154+AC154*AI154</f>
        <v>0</v>
      </c>
      <c r="AE154" s="1230">
        <f t="shared" si="78"/>
        <v>0.27005021016623343</v>
      </c>
      <c r="AF154" s="1231">
        <f t="shared" si="79"/>
        <v>0.39740232404859804</v>
      </c>
      <c r="AG154" s="1231">
        <f t="shared" si="80"/>
        <v>0.66745253421483142</v>
      </c>
      <c r="AH154" s="1172">
        <f t="shared" si="76"/>
        <v>0.40459837415092198</v>
      </c>
      <c r="AI154" s="1232">
        <f t="shared" si="77"/>
        <v>0.59540162584907808</v>
      </c>
      <c r="AJ154" s="227"/>
      <c r="AK154" s="227"/>
      <c r="AL154" s="227"/>
      <c r="AM154" s="227"/>
    </row>
    <row r="155" spans="1:39" x14ac:dyDescent="0.2">
      <c r="A155" s="330">
        <v>2034</v>
      </c>
      <c r="B155" s="344">
        <v>7.1125340646899307E-2</v>
      </c>
      <c r="C155" s="345">
        <v>0.70257549417966736</v>
      </c>
      <c r="D155" s="345">
        <v>0.9224512723020003</v>
      </c>
      <c r="E155" s="345">
        <v>0.96779160746464499</v>
      </c>
      <c r="F155" s="345">
        <v>0.97818048138665326</v>
      </c>
      <c r="G155" s="345">
        <v>0.9714667124207953</v>
      </c>
      <c r="H155" s="345">
        <v>0.9006985354171495</v>
      </c>
      <c r="I155" s="345">
        <v>0.84959171988941118</v>
      </c>
      <c r="J155" s="345">
        <v>0.78094458479185702</v>
      </c>
      <c r="K155" s="345">
        <v>0.68328149654121662</v>
      </c>
      <c r="L155" s="380">
        <v>0.68328149654121662</v>
      </c>
      <c r="M155" s="296">
        <f t="shared" si="71"/>
        <v>0.27396217094424957</v>
      </c>
      <c r="N155" s="298">
        <f t="shared" si="72"/>
        <v>0.18455700973032801</v>
      </c>
      <c r="O155" s="344">
        <v>5.6246430315147616E-2</v>
      </c>
      <c r="P155" s="345">
        <v>0.73454931705262538</v>
      </c>
      <c r="Q155" s="345">
        <v>0.9224512723020003</v>
      </c>
      <c r="R155" s="345">
        <v>0.97569851895251247</v>
      </c>
      <c r="S155" s="345">
        <v>0.97700920745659803</v>
      </c>
      <c r="T155" s="345">
        <v>0.95629813597389424</v>
      </c>
      <c r="U155" s="345">
        <v>0.89083802357253139</v>
      </c>
      <c r="V155" s="345">
        <v>0.796201994492725</v>
      </c>
      <c r="W155" s="345">
        <v>0.71641171875656173</v>
      </c>
      <c r="X155" s="345">
        <v>0.66772503254647142</v>
      </c>
      <c r="Y155" s="380">
        <v>0.58557478717520017</v>
      </c>
      <c r="Z155" s="296">
        <f t="shared" si="73"/>
        <v>0.4040953384113124</v>
      </c>
      <c r="AA155" s="298">
        <f t="shared" si="74"/>
        <v>0.28339895251024372</v>
      </c>
      <c r="AB155" s="948">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49">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6">
        <f t="shared" ref="AD155:AD171" si="81">AB155*AH155+AC155*AI155</f>
        <v>0</v>
      </c>
      <c r="AE155" s="1230">
        <f t="shared" si="78"/>
        <v>0.27396217094424957</v>
      </c>
      <c r="AF155" s="1231">
        <f t="shared" si="79"/>
        <v>0.4040953384113124</v>
      </c>
      <c r="AG155" s="1231">
        <f t="shared" si="80"/>
        <v>0.67805750935556197</v>
      </c>
      <c r="AH155" s="1172">
        <f t="shared" si="76"/>
        <v>0.40403972696154955</v>
      </c>
      <c r="AI155" s="1232">
        <f t="shared" si="77"/>
        <v>0.59596027303845045</v>
      </c>
      <c r="AJ155" s="227"/>
      <c r="AK155" s="227"/>
      <c r="AL155" s="227"/>
      <c r="AM155" s="227"/>
    </row>
    <row r="156" spans="1:39" ht="13.5" thickBot="1" x14ac:dyDescent="0.25">
      <c r="A156" s="328">
        <v>2035</v>
      </c>
      <c r="B156" s="346">
        <v>7.1425316380412648E-2</v>
      </c>
      <c r="C156" s="347">
        <v>0.70553865185734133</v>
      </c>
      <c r="D156" s="347">
        <v>0.92634177032313247</v>
      </c>
      <c r="E156" s="347">
        <v>0.97187333128764253</v>
      </c>
      <c r="F156" s="347">
        <v>0.98303076983289472</v>
      </c>
      <c r="G156" s="347">
        <v>0.98132824313963962</v>
      </c>
      <c r="H156" s="347">
        <v>0.9391084590307236</v>
      </c>
      <c r="I156" s="347">
        <v>0.8960086106712406</v>
      </c>
      <c r="J156" s="347">
        <v>0.82885600380140234</v>
      </c>
      <c r="K156" s="347">
        <v>0.72433234559023951</v>
      </c>
      <c r="L156" s="381">
        <v>0.72433234559023951</v>
      </c>
      <c r="M156" s="310">
        <f t="shared" si="71"/>
        <v>0.27578946271494764</v>
      </c>
      <c r="N156" s="312">
        <f t="shared" si="72"/>
        <v>0.18546356696892047</v>
      </c>
      <c r="O156" s="346">
        <v>6.3587663385724885E-2</v>
      </c>
      <c r="P156" s="347">
        <v>0.73764732640035557</v>
      </c>
      <c r="Q156" s="347">
        <v>0.94472254431270541</v>
      </c>
      <c r="R156" s="347">
        <v>0.97981359068712381</v>
      </c>
      <c r="S156" s="347">
        <v>0.98217568084556928</v>
      </c>
      <c r="T156" s="347">
        <v>0.97193102847804813</v>
      </c>
      <c r="U156" s="347">
        <v>0.92309992258852491</v>
      </c>
      <c r="V156" s="347">
        <v>0.84500451231356699</v>
      </c>
      <c r="W156" s="347">
        <v>0.7506487003752913</v>
      </c>
      <c r="X156" s="347">
        <v>0.70734132335193589</v>
      </c>
      <c r="Y156" s="381">
        <v>0.62651486817885815</v>
      </c>
      <c r="Z156" s="310">
        <f t="shared" si="73"/>
        <v>0.40996736622974495</v>
      </c>
      <c r="AA156" s="312">
        <f t="shared" si="74"/>
        <v>0.2877408032462514</v>
      </c>
      <c r="AB156" s="948">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49">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6">
        <f t="shared" si="81"/>
        <v>0</v>
      </c>
      <c r="AE156" s="1230">
        <f t="shared" si="78"/>
        <v>0.27578946271494764</v>
      </c>
      <c r="AF156" s="1231">
        <f t="shared" si="79"/>
        <v>0.40996736622974495</v>
      </c>
      <c r="AG156" s="1231">
        <f t="shared" si="80"/>
        <v>0.68575682894469259</v>
      </c>
      <c r="AH156" s="1172">
        <f t="shared" si="76"/>
        <v>0.40216801506644639</v>
      </c>
      <c r="AI156" s="1232">
        <f t="shared" si="77"/>
        <v>0.59783198493355361</v>
      </c>
      <c r="AJ156" s="227"/>
      <c r="AK156" s="227"/>
      <c r="AL156" s="227"/>
      <c r="AM156" s="227"/>
    </row>
    <row r="157" spans="1:39" x14ac:dyDescent="0.2">
      <c r="A157" s="329">
        <v>2036</v>
      </c>
      <c r="B157" s="342">
        <v>0.10010203121015183</v>
      </c>
      <c r="C157" s="343">
        <v>0.739390509802201</v>
      </c>
      <c r="D157" s="343">
        <v>0.92853087010112978</v>
      </c>
      <c r="E157" s="343">
        <v>0.97746564746684728</v>
      </c>
      <c r="F157" s="343">
        <v>0.94693165331289619</v>
      </c>
      <c r="G157" s="343">
        <v>0.8907259605810991</v>
      </c>
      <c r="H157" s="343">
        <v>0.73007593321630504</v>
      </c>
      <c r="I157" s="343">
        <v>0.67823651710522159</v>
      </c>
      <c r="J157" s="343">
        <v>0.61290592087306217</v>
      </c>
      <c r="K157" s="343">
        <v>0.54962469622885957</v>
      </c>
      <c r="L157" s="379">
        <v>0.54962469622885957</v>
      </c>
      <c r="M157" s="282">
        <f t="shared" si="71"/>
        <v>0.27892272823644587</v>
      </c>
      <c r="N157" s="284">
        <f t="shared" si="72"/>
        <v>0.19423021163077669</v>
      </c>
      <c r="O157" s="342">
        <v>8.0238186796823416E-2</v>
      </c>
      <c r="P157" s="343">
        <v>0.77082266655284815</v>
      </c>
      <c r="Q157" s="343">
        <v>0.94695508091882508</v>
      </c>
      <c r="R157" s="343">
        <v>0.97336372432865992</v>
      </c>
      <c r="S157" s="343">
        <v>0.92820598909383334</v>
      </c>
      <c r="T157" s="343">
        <v>0.82724075329296398</v>
      </c>
      <c r="U157" s="343">
        <v>0.71599157406124403</v>
      </c>
      <c r="V157" s="343">
        <v>0.63197170907036637</v>
      </c>
      <c r="W157" s="343">
        <v>0.5679505695785414</v>
      </c>
      <c r="X157" s="343">
        <v>0.5403999811205894</v>
      </c>
      <c r="Y157" s="379">
        <v>0.5006599756892548</v>
      </c>
      <c r="Z157" s="282">
        <f t="shared" si="73"/>
        <v>0.40883346083654537</v>
      </c>
      <c r="AA157" s="284">
        <f t="shared" si="74"/>
        <v>0.29829081227377258</v>
      </c>
      <c r="AB157" s="948">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49">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6">
        <f t="shared" si="81"/>
        <v>0</v>
      </c>
      <c r="AE157" s="1230">
        <f t="shared" si="78"/>
        <v>0.27892272823644587</v>
      </c>
      <c r="AF157" s="1231">
        <f t="shared" si="79"/>
        <v>0.40883346083654537</v>
      </c>
      <c r="AG157" s="1231">
        <f t="shared" si="80"/>
        <v>0.6877561890729913</v>
      </c>
      <c r="AH157" s="1172">
        <f t="shared" si="76"/>
        <v>0.40555466118363626</v>
      </c>
      <c r="AI157" s="1232">
        <f t="shared" si="77"/>
        <v>0.59444533881636363</v>
      </c>
      <c r="AJ157" s="227"/>
      <c r="AK157" s="227"/>
      <c r="AL157" s="227"/>
      <c r="AM157" s="227"/>
    </row>
    <row r="158" spans="1:39" x14ac:dyDescent="0.2">
      <c r="A158" s="330">
        <v>2037</v>
      </c>
      <c r="B158" s="344">
        <v>0.11154547493811257</v>
      </c>
      <c r="C158" s="345">
        <v>0.77164172539476106</v>
      </c>
      <c r="D158" s="345">
        <v>0.94776582136165333</v>
      </c>
      <c r="E158" s="345">
        <v>0.94945190949454572</v>
      </c>
      <c r="F158" s="345">
        <v>0.8634335513610103</v>
      </c>
      <c r="G158" s="345">
        <v>0.78449006590922477</v>
      </c>
      <c r="H158" s="345">
        <v>0.6381672649596738</v>
      </c>
      <c r="I158" s="345">
        <v>0.5910761862105931</v>
      </c>
      <c r="J158" s="345">
        <v>0.5447486363314421</v>
      </c>
      <c r="K158" s="345">
        <v>0.5032225675007006</v>
      </c>
      <c r="L158" s="380">
        <v>0.5032225675007006</v>
      </c>
      <c r="M158" s="296">
        <f t="shared" si="71"/>
        <v>0.28173147696483514</v>
      </c>
      <c r="N158" s="298">
        <f t="shared" si="72"/>
        <v>0.20030879020309</v>
      </c>
      <c r="O158" s="344">
        <v>0.10020839737881002</v>
      </c>
      <c r="P158" s="345">
        <v>0.80209723817901846</v>
      </c>
      <c r="Q158" s="345">
        <v>0.94723494063277869</v>
      </c>
      <c r="R158" s="345">
        <v>0.92824193936871213</v>
      </c>
      <c r="S158" s="345">
        <v>0.83605982090121433</v>
      </c>
      <c r="T158" s="345">
        <v>0.71473628472737771</v>
      </c>
      <c r="U158" s="345">
        <v>0.61556427209461728</v>
      </c>
      <c r="V158" s="345">
        <v>0.5629054997124735</v>
      </c>
      <c r="W158" s="345">
        <v>0.52056971667192475</v>
      </c>
      <c r="X158" s="345">
        <v>0.49754863898373419</v>
      </c>
      <c r="Y158" s="380">
        <v>0.46566256992000027</v>
      </c>
      <c r="Z158" s="296">
        <f t="shared" si="73"/>
        <v>0.41052583116116187</v>
      </c>
      <c r="AA158" s="298">
        <f t="shared" si="74"/>
        <v>0.30925924519072251</v>
      </c>
      <c r="AB158" s="948">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49">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6">
        <f t="shared" si="81"/>
        <v>0</v>
      </c>
      <c r="AE158" s="1230">
        <f t="shared" si="78"/>
        <v>0.28173147696483514</v>
      </c>
      <c r="AF158" s="1231">
        <f t="shared" si="79"/>
        <v>0.41052583116116187</v>
      </c>
      <c r="AG158" s="1231">
        <f t="shared" si="80"/>
        <v>0.69225730812599706</v>
      </c>
      <c r="AH158" s="1172">
        <f t="shared" si="76"/>
        <v>0.40697508521435133</v>
      </c>
      <c r="AI158" s="1232">
        <f t="shared" si="77"/>
        <v>0.59302491478564856</v>
      </c>
      <c r="AJ158" s="227"/>
      <c r="AK158" s="227"/>
      <c r="AL158" s="227"/>
      <c r="AM158" s="227"/>
    </row>
    <row r="159" spans="1:39" x14ac:dyDescent="0.2">
      <c r="A159" s="330">
        <v>2038</v>
      </c>
      <c r="B159" s="344">
        <v>0.15188514673033063</v>
      </c>
      <c r="C159" s="345">
        <v>0.80286620515643525</v>
      </c>
      <c r="D159" s="345">
        <v>0.93734337238379939</v>
      </c>
      <c r="E159" s="345">
        <v>0.83929930794861518</v>
      </c>
      <c r="F159" s="345">
        <v>0.73077129000196672</v>
      </c>
      <c r="G159" s="345">
        <v>0.65156091105461322</v>
      </c>
      <c r="H159" s="345">
        <v>0.54425468661366982</v>
      </c>
      <c r="I159" s="345">
        <v>0.51586936033025432</v>
      </c>
      <c r="J159" s="345">
        <v>0.4896472144268243</v>
      </c>
      <c r="K159" s="345">
        <v>0.46625300373132539</v>
      </c>
      <c r="L159" s="380">
        <v>0.46625300373132539</v>
      </c>
      <c r="M159" s="296">
        <f t="shared" si="71"/>
        <v>0.27912892635883768</v>
      </c>
      <c r="N159" s="298">
        <f t="shared" si="72"/>
        <v>0.20773498264788745</v>
      </c>
      <c r="O159" s="344">
        <v>0.1373950841597979</v>
      </c>
      <c r="P159" s="345">
        <v>0.80286620515643525</v>
      </c>
      <c r="Q159" s="345">
        <v>0.94126810763372259</v>
      </c>
      <c r="R159" s="345">
        <v>0.80270669788542082</v>
      </c>
      <c r="S159" s="345">
        <v>0.69475477137822661</v>
      </c>
      <c r="T159" s="345">
        <v>0.6122245959626611</v>
      </c>
      <c r="U159" s="345">
        <v>0.53678880815306096</v>
      </c>
      <c r="V159" s="345">
        <v>0.49701856138707706</v>
      </c>
      <c r="W159" s="345">
        <v>0.47214425194023912</v>
      </c>
      <c r="X159" s="345">
        <v>0.46099577900574823</v>
      </c>
      <c r="Y159" s="380">
        <v>0.44403599064549071</v>
      </c>
      <c r="Z159" s="296">
        <f t="shared" si="73"/>
        <v>0.40044483960973043</v>
      </c>
      <c r="AA159" s="298">
        <f t="shared" si="74"/>
        <v>0.31487970023327333</v>
      </c>
      <c r="AB159" s="948">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49">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6">
        <f t="shared" si="81"/>
        <v>0</v>
      </c>
      <c r="AE159" s="1230">
        <f t="shared" si="78"/>
        <v>0.27912892635883768</v>
      </c>
      <c r="AF159" s="1231">
        <f t="shared" si="79"/>
        <v>0.40044483960973043</v>
      </c>
      <c r="AG159" s="1231">
        <f t="shared" si="80"/>
        <v>0.67957376596856811</v>
      </c>
      <c r="AH159" s="1172">
        <f t="shared" si="76"/>
        <v>0.41074117386065789</v>
      </c>
      <c r="AI159" s="1232">
        <f t="shared" si="77"/>
        <v>0.58925882613934211</v>
      </c>
      <c r="AJ159" s="227"/>
      <c r="AK159" s="227"/>
      <c r="AL159" s="227"/>
      <c r="AM159" s="227"/>
    </row>
    <row r="160" spans="1:39" x14ac:dyDescent="0.2">
      <c r="A160" s="330">
        <v>2039</v>
      </c>
      <c r="B160" s="344">
        <v>0.20256311715163602</v>
      </c>
      <c r="C160" s="345">
        <v>0.83201768976676382</v>
      </c>
      <c r="D160" s="345">
        <v>0.85440330155967958</v>
      </c>
      <c r="E160" s="345">
        <v>0.67570685156486443</v>
      </c>
      <c r="F160" s="345">
        <v>0.60155644206517422</v>
      </c>
      <c r="G160" s="345">
        <v>0.55752176195874847</v>
      </c>
      <c r="H160" s="345">
        <v>0.49176470994077875</v>
      </c>
      <c r="I160" s="345">
        <v>0.47513756843039201</v>
      </c>
      <c r="J160" s="345">
        <v>0.45700032712402017</v>
      </c>
      <c r="K160" s="345">
        <v>0.43957278440217296</v>
      </c>
      <c r="L160" s="380">
        <v>0.43957278440217296</v>
      </c>
      <c r="M160" s="296">
        <f t="shared" si="71"/>
        <v>0.26884629776196362</v>
      </c>
      <c r="N160" s="298">
        <f t="shared" si="72"/>
        <v>0.21210745148043866</v>
      </c>
      <c r="O160" s="344">
        <v>0.18453245720362496</v>
      </c>
      <c r="P160" s="345">
        <v>0.85866892834876662</v>
      </c>
      <c r="Q160" s="345">
        <v>0.83292760104437202</v>
      </c>
      <c r="R160" s="345">
        <v>0.65820166561674409</v>
      </c>
      <c r="S160" s="345">
        <v>0.58115429562450671</v>
      </c>
      <c r="T160" s="345">
        <v>0.52466123446318369</v>
      </c>
      <c r="U160" s="345">
        <v>0.48397440598346891</v>
      </c>
      <c r="V160" s="345">
        <v>0.46163316600188203</v>
      </c>
      <c r="W160" s="345">
        <v>0.44266729360062895</v>
      </c>
      <c r="X160" s="345">
        <v>0.44016009981105575</v>
      </c>
      <c r="Y160" s="380">
        <v>0.4278744470137163</v>
      </c>
      <c r="Z160" s="296">
        <f t="shared" si="73"/>
        <v>0.39848873103757254</v>
      </c>
      <c r="AA160" s="298">
        <f t="shared" si="74"/>
        <v>0.33253038665562673</v>
      </c>
      <c r="AB160" s="948">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49">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6">
        <f t="shared" si="81"/>
        <v>0</v>
      </c>
      <c r="AE160" s="1230">
        <f t="shared" si="78"/>
        <v>0.26884629776196362</v>
      </c>
      <c r="AF160" s="1231">
        <f t="shared" si="79"/>
        <v>0.39848873103757254</v>
      </c>
      <c r="AG160" s="1231">
        <f t="shared" si="80"/>
        <v>0.6673350287995361</v>
      </c>
      <c r="AH160" s="1172">
        <f t="shared" si="76"/>
        <v>0.40286555651902339</v>
      </c>
      <c r="AI160" s="1232">
        <f t="shared" si="77"/>
        <v>0.59713444348097666</v>
      </c>
      <c r="AJ160" s="227"/>
      <c r="AK160" s="227"/>
      <c r="AL160" s="227"/>
      <c r="AM160" s="227"/>
    </row>
    <row r="161" spans="1:39" ht="13.5" thickBot="1" x14ac:dyDescent="0.25">
      <c r="A161" s="328">
        <v>2040</v>
      </c>
      <c r="B161" s="346">
        <v>0.28761131970189896</v>
      </c>
      <c r="C161" s="347">
        <v>0.83986227443128014</v>
      </c>
      <c r="D161" s="347">
        <v>0.69715870994266038</v>
      </c>
      <c r="E161" s="347">
        <v>0.57106043347350066</v>
      </c>
      <c r="F161" s="347">
        <v>0.52317743557653307</v>
      </c>
      <c r="G161" s="347">
        <v>0.49545230564762655</v>
      </c>
      <c r="H161" s="347">
        <v>0.45846169942418991</v>
      </c>
      <c r="I161" s="347">
        <v>0.44694811744440827</v>
      </c>
      <c r="J161" s="347">
        <v>0.43632931534871094</v>
      </c>
      <c r="K161" s="347">
        <v>0.42925055652810518</v>
      </c>
      <c r="L161" s="381">
        <v>0.42925055652810518</v>
      </c>
      <c r="M161" s="310">
        <f t="shared" si="71"/>
        <v>0.25540097203811718</v>
      </c>
      <c r="N161" s="312">
        <f t="shared" si="72"/>
        <v>0.21678951839405783</v>
      </c>
      <c r="O161" s="346">
        <v>0.26453707948362959</v>
      </c>
      <c r="P161" s="347">
        <v>0.82774806839894055</v>
      </c>
      <c r="Q161" s="347">
        <v>0.65390529506693729</v>
      </c>
      <c r="R161" s="347">
        <v>0.55501710082256939</v>
      </c>
      <c r="S161" s="347">
        <v>0.50611947615431341</v>
      </c>
      <c r="T161" s="347">
        <v>0.47803294568660332</v>
      </c>
      <c r="U161" s="347">
        <v>0.45293876535992317</v>
      </c>
      <c r="V161" s="347">
        <v>0.43632931534871094</v>
      </c>
      <c r="W161" s="347">
        <v>0.42925055652810518</v>
      </c>
      <c r="X161" s="347">
        <v>0.42679818304546818</v>
      </c>
      <c r="Y161" s="381">
        <v>0.42093500856525401</v>
      </c>
      <c r="Z161" s="310">
        <f t="shared" si="73"/>
        <v>0.37521943807259367</v>
      </c>
      <c r="AA161" s="312">
        <f t="shared" si="74"/>
        <v>0.33504444598839278</v>
      </c>
      <c r="AB161" s="948">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49">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6">
        <f t="shared" si="81"/>
        <v>0</v>
      </c>
      <c r="AE161" s="1230">
        <f t="shared" si="78"/>
        <v>0.25540097203811718</v>
      </c>
      <c r="AF161" s="1231">
        <f t="shared" si="79"/>
        <v>0.37521943807259367</v>
      </c>
      <c r="AG161" s="1231">
        <f t="shared" si="80"/>
        <v>0.63062041011071091</v>
      </c>
      <c r="AH161" s="1172">
        <f t="shared" si="76"/>
        <v>0.40499953370249991</v>
      </c>
      <c r="AI161" s="1232">
        <f t="shared" si="77"/>
        <v>0.59500046629750003</v>
      </c>
      <c r="AJ161" s="227"/>
      <c r="AK161" s="227"/>
      <c r="AL161" s="227"/>
      <c r="AM161" s="227"/>
    </row>
    <row r="162" spans="1:39" x14ac:dyDescent="0.2">
      <c r="A162" s="329">
        <v>2041</v>
      </c>
      <c r="B162" s="342">
        <v>0.42187499463973216</v>
      </c>
      <c r="C162" s="343">
        <v>0.71339234999327916</v>
      </c>
      <c r="D162" s="343">
        <v>0.57293727341311651</v>
      </c>
      <c r="E162" s="343">
        <v>0.51107672690028505</v>
      </c>
      <c r="F162" s="343">
        <v>0.47866634644265355</v>
      </c>
      <c r="G162" s="343">
        <v>0.46300274957952647</v>
      </c>
      <c r="H162" s="343">
        <v>0.43727464948737566</v>
      </c>
      <c r="I162" s="343">
        <v>0.42924318039734088</v>
      </c>
      <c r="J162" s="343">
        <v>0.42363952555030121</v>
      </c>
      <c r="K162" s="343">
        <v>0.41602152580194801</v>
      </c>
      <c r="L162" s="379">
        <v>0.41602152580194801</v>
      </c>
      <c r="M162" s="282">
        <f t="shared" si="71"/>
        <v>0.23126089324587534</v>
      </c>
      <c r="N162" s="284">
        <f t="shared" si="72"/>
        <v>0.21330299640316186</v>
      </c>
      <c r="O162" s="342">
        <v>0.42187499463973216</v>
      </c>
      <c r="P162" s="343">
        <v>0.68524722362711765</v>
      </c>
      <c r="Q162" s="343">
        <v>0.56094183509541029</v>
      </c>
      <c r="R162" s="343">
        <v>0.49625484731685193</v>
      </c>
      <c r="S162" s="343">
        <v>0.46907446472689907</v>
      </c>
      <c r="T162" s="343">
        <v>0.44628226176518709</v>
      </c>
      <c r="U162" s="343">
        <v>0.43134881334427067</v>
      </c>
      <c r="V162" s="343">
        <v>0.42363952555030121</v>
      </c>
      <c r="W162" s="343">
        <v>0.41843146040233908</v>
      </c>
      <c r="X162" s="343">
        <v>0.41376553874077487</v>
      </c>
      <c r="Y162" s="379">
        <v>0.40978958063857313</v>
      </c>
      <c r="Z162" s="282">
        <f t="shared" si="73"/>
        <v>0.34182916535134583</v>
      </c>
      <c r="AA162" s="284">
        <f t="shared" si="74"/>
        <v>0.33545364848345532</v>
      </c>
      <c r="AB162" s="948">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49">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6">
        <f t="shared" si="81"/>
        <v>0</v>
      </c>
      <c r="AE162" s="1230">
        <f t="shared" si="78"/>
        <v>0.23126089324587534</v>
      </c>
      <c r="AF162" s="1231">
        <f t="shared" si="79"/>
        <v>0.34182916535134583</v>
      </c>
      <c r="AG162" s="1231">
        <f t="shared" si="80"/>
        <v>0.57309005859722117</v>
      </c>
      <c r="AH162" s="1172">
        <f t="shared" si="76"/>
        <v>0.40353324887879444</v>
      </c>
      <c r="AI162" s="1232">
        <f t="shared" si="77"/>
        <v>0.59646675112120551</v>
      </c>
      <c r="AJ162" s="227"/>
      <c r="AK162" s="227"/>
      <c r="AL162" s="227"/>
      <c r="AM162" s="227"/>
    </row>
    <row r="163" spans="1:39" x14ac:dyDescent="0.2">
      <c r="A163" s="330">
        <v>2042</v>
      </c>
      <c r="B163" s="344">
        <v>0.58818678910003697</v>
      </c>
      <c r="C163" s="345">
        <v>0.59370574138119692</v>
      </c>
      <c r="D163" s="345">
        <v>0.51993986223673849</v>
      </c>
      <c r="E163" s="345">
        <v>0.4755094185312066</v>
      </c>
      <c r="F163" s="345">
        <v>0.44992566258702843</v>
      </c>
      <c r="G163" s="345">
        <v>0.43780718608340058</v>
      </c>
      <c r="H163" s="345">
        <v>0.41527278372515308</v>
      </c>
      <c r="I163" s="345">
        <v>0.40956451708543196</v>
      </c>
      <c r="J163" s="345">
        <v>0.40692880037704515</v>
      </c>
      <c r="K163" s="345">
        <v>0.40012958414935845</v>
      </c>
      <c r="L163" s="380">
        <v>0.40012958414935845</v>
      </c>
      <c r="M163" s="296">
        <f t="shared" si="71"/>
        <v>0.21828790504177478</v>
      </c>
      <c r="N163" s="298">
        <f t="shared" si="72"/>
        <v>0.22021019463544561</v>
      </c>
      <c r="O163" s="344">
        <v>0.59408805389544217</v>
      </c>
      <c r="P163" s="345">
        <v>0.58144273324677076</v>
      </c>
      <c r="Q163" s="345">
        <v>0.50920986544842983</v>
      </c>
      <c r="R163" s="345">
        <v>0.45978001918522476</v>
      </c>
      <c r="S163" s="345">
        <v>0.4402980193185676</v>
      </c>
      <c r="T163" s="345">
        <v>0.4246348541600044</v>
      </c>
      <c r="U163" s="345">
        <v>0.4123523499238837</v>
      </c>
      <c r="V163" s="345">
        <v>0.40692880037704515</v>
      </c>
      <c r="W163" s="345">
        <v>0.40219174018426701</v>
      </c>
      <c r="X163" s="345">
        <v>0.40012958414935845</v>
      </c>
      <c r="Y163" s="380">
        <v>0.39671865520999783</v>
      </c>
      <c r="Z163" s="296">
        <f t="shared" si="73"/>
        <v>0.32556926599958808</v>
      </c>
      <c r="AA163" s="298">
        <f t="shared" si="74"/>
        <v>0.35232711603279893</v>
      </c>
      <c r="AB163" s="948">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49">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6">
        <f t="shared" si="81"/>
        <v>0</v>
      </c>
      <c r="AE163" s="1230">
        <f t="shared" si="78"/>
        <v>0.21828790504177478</v>
      </c>
      <c r="AF163" s="1231">
        <f t="shared" si="79"/>
        <v>0.32556926599958808</v>
      </c>
      <c r="AG163" s="1231">
        <f t="shared" si="80"/>
        <v>0.54385717104136289</v>
      </c>
      <c r="AH163" s="1172">
        <f t="shared" si="76"/>
        <v>0.40136991229480906</v>
      </c>
      <c r="AI163" s="1232">
        <f t="shared" si="77"/>
        <v>0.59863008770519088</v>
      </c>
      <c r="AJ163" s="227"/>
      <c r="AK163" s="227"/>
      <c r="AL163" s="227"/>
      <c r="AM163" s="227"/>
    </row>
    <row r="164" spans="1:39" x14ac:dyDescent="0.2">
      <c r="A164" s="330">
        <v>2043</v>
      </c>
      <c r="B164" s="344">
        <v>0.64670988690190501</v>
      </c>
      <c r="C164" s="345">
        <v>0.53731781271418455</v>
      </c>
      <c r="D164" s="345">
        <v>0.48950627700457777</v>
      </c>
      <c r="E164" s="345">
        <v>0.44293388184671806</v>
      </c>
      <c r="F164" s="345">
        <v>0.42315637298315684</v>
      </c>
      <c r="G164" s="345">
        <v>0.41240263208379374</v>
      </c>
      <c r="H164" s="345">
        <v>0.39651989354611816</v>
      </c>
      <c r="I164" s="345">
        <v>0.3913619049045447</v>
      </c>
      <c r="J164" s="345">
        <v>0.38912096394189921</v>
      </c>
      <c r="K164" s="345">
        <v>0.38542022846980178</v>
      </c>
      <c r="L164" s="380">
        <v>0.38542022846980178</v>
      </c>
      <c r="M164" s="296">
        <f t="shared" si="71"/>
        <v>0.209060772784708</v>
      </c>
      <c r="N164" s="298">
        <f t="shared" si="72"/>
        <v>0.21952224864078174</v>
      </c>
      <c r="O164" s="344">
        <v>0.62888593100450652</v>
      </c>
      <c r="P164" s="345">
        <v>0.52905356954965921</v>
      </c>
      <c r="Q164" s="345">
        <v>0.47531442288778936</v>
      </c>
      <c r="R164" s="345">
        <v>0.43033315264894839</v>
      </c>
      <c r="S164" s="345">
        <v>0.41592646295145869</v>
      </c>
      <c r="T164" s="345">
        <v>0.40244294537872882</v>
      </c>
      <c r="U164" s="345">
        <v>0.39383505476693559</v>
      </c>
      <c r="V164" s="345">
        <v>0.38912096394189921</v>
      </c>
      <c r="W164" s="345">
        <v>0.38542022846980178</v>
      </c>
      <c r="X164" s="345">
        <v>0.38542022846980178</v>
      </c>
      <c r="Y164" s="380">
        <v>0.38291759004523146</v>
      </c>
      <c r="Z164" s="296">
        <f t="shared" si="73"/>
        <v>0.30937473822876527</v>
      </c>
      <c r="AA164" s="298">
        <f t="shared" si="74"/>
        <v>0.34583032054128676</v>
      </c>
      <c r="AB164" s="948">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49">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6">
        <f t="shared" si="81"/>
        <v>0</v>
      </c>
      <c r="AE164" s="1230">
        <f t="shared" si="78"/>
        <v>0.209060772784708</v>
      </c>
      <c r="AF164" s="1231">
        <f t="shared" si="79"/>
        <v>0.30937473822876527</v>
      </c>
      <c r="AG164" s="1231">
        <f t="shared" si="80"/>
        <v>0.51843551101347329</v>
      </c>
      <c r="AH164" s="1172">
        <f t="shared" si="76"/>
        <v>0.40325318837828383</v>
      </c>
      <c r="AI164" s="1232">
        <f t="shared" si="77"/>
        <v>0.59674681162171606</v>
      </c>
      <c r="AJ164" s="227"/>
      <c r="AK164" s="227"/>
      <c r="AL164" s="227"/>
      <c r="AM164" s="227"/>
    </row>
    <row r="165" spans="1:39" x14ac:dyDescent="0.2">
      <c r="A165" s="330">
        <v>2044</v>
      </c>
      <c r="B165" s="344">
        <v>0.61987062153695394</v>
      </c>
      <c r="C165" s="345">
        <v>0.51161128867686123</v>
      </c>
      <c r="D165" s="345">
        <v>0.45795498985970068</v>
      </c>
      <c r="E165" s="345">
        <v>0.3990004466599732</v>
      </c>
      <c r="F165" s="345">
        <v>0.39610983513362341</v>
      </c>
      <c r="G165" s="345">
        <v>0.38937579908147574</v>
      </c>
      <c r="H165" s="345">
        <v>0.37834232911837851</v>
      </c>
      <c r="I165" s="345">
        <v>0.37621459796219081</v>
      </c>
      <c r="J165" s="345">
        <v>0.37287170032417244</v>
      </c>
      <c r="K165" s="345">
        <v>0.37170963996427242</v>
      </c>
      <c r="L165" s="380">
        <v>0.37170963996427242</v>
      </c>
      <c r="M165" s="296">
        <f t="shared" si="71"/>
        <v>0.1974931633965612</v>
      </c>
      <c r="N165" s="298">
        <f t="shared" si="72"/>
        <v>0.20884441369369425</v>
      </c>
      <c r="O165" s="344">
        <v>0.60095154987295474</v>
      </c>
      <c r="P165" s="345">
        <v>0.50487963177039308</v>
      </c>
      <c r="Q165" s="345">
        <v>0.44198099480956327</v>
      </c>
      <c r="R165" s="345">
        <v>0.38751501639184088</v>
      </c>
      <c r="S165" s="345">
        <v>0.39265904101791249</v>
      </c>
      <c r="T165" s="345">
        <v>0.38339703045227752</v>
      </c>
      <c r="U165" s="345">
        <v>0.37621459796219081</v>
      </c>
      <c r="V165" s="345">
        <v>0.37438289866055374</v>
      </c>
      <c r="W165" s="345">
        <v>0.37170963996427242</v>
      </c>
      <c r="X165" s="345">
        <v>0.37170963996427242</v>
      </c>
      <c r="Y165" s="380">
        <v>0.37093504419705381</v>
      </c>
      <c r="Z165" s="296">
        <f t="shared" si="73"/>
        <v>0.29298331339168165</v>
      </c>
      <c r="AA165" s="298">
        <f t="shared" si="74"/>
        <v>0.32917109291498964</v>
      </c>
      <c r="AB165" s="948">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49">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6">
        <f t="shared" si="81"/>
        <v>0</v>
      </c>
      <c r="AE165" s="1230">
        <f t="shared" si="78"/>
        <v>0.1974931633965612</v>
      </c>
      <c r="AF165" s="1231">
        <f t="shared" si="79"/>
        <v>0.29298331339168165</v>
      </c>
      <c r="AG165" s="1231">
        <f t="shared" si="80"/>
        <v>0.49047647678824285</v>
      </c>
      <c r="AH165" s="1172">
        <f t="shared" si="76"/>
        <v>0.40265572915910997</v>
      </c>
      <c r="AI165" s="1232">
        <f t="shared" si="77"/>
        <v>0.59734427084089003</v>
      </c>
      <c r="AJ165" s="227"/>
      <c r="AK165" s="227"/>
      <c r="AL165" s="227"/>
      <c r="AM165" s="227"/>
    </row>
    <row r="166" spans="1:39" ht="13.5" thickBot="1" x14ac:dyDescent="0.25">
      <c r="A166" s="328">
        <v>2045</v>
      </c>
      <c r="B166" s="346">
        <v>0.57881930021140993</v>
      </c>
      <c r="C166" s="347">
        <v>0.48786159239640459</v>
      </c>
      <c r="D166" s="347">
        <v>0.40572622309460404</v>
      </c>
      <c r="E166" s="347">
        <v>0.34681559352037467</v>
      </c>
      <c r="F166" s="347">
        <v>0.3776731076541181</v>
      </c>
      <c r="G166" s="347">
        <v>0.36931716858114749</v>
      </c>
      <c r="H166" s="347">
        <v>0.36357489576675295</v>
      </c>
      <c r="I166" s="347">
        <v>0.36357489576675295</v>
      </c>
      <c r="J166" s="347">
        <v>0.36235676686041185</v>
      </c>
      <c r="K166" s="347">
        <v>0.36121728951894888</v>
      </c>
      <c r="L166" s="381">
        <v>0.36121728951894888</v>
      </c>
      <c r="M166" s="310">
        <f t="shared" si="71"/>
        <v>0.18319229101414441</v>
      </c>
      <c r="N166" s="312">
        <f t="shared" si="72"/>
        <v>0.19497293279743411</v>
      </c>
      <c r="O166" s="346">
        <v>0.57217116285149772</v>
      </c>
      <c r="P166" s="347">
        <v>0.4820392508126356</v>
      </c>
      <c r="Q166" s="347">
        <v>0.38675253328140985</v>
      </c>
      <c r="R166" s="347">
        <v>0.33687420700887727</v>
      </c>
      <c r="S166" s="347">
        <v>0.37184172613994704</v>
      </c>
      <c r="T166" s="347">
        <v>0.36708227609453792</v>
      </c>
      <c r="U166" s="347">
        <v>0.36357489576675295</v>
      </c>
      <c r="V166" s="347">
        <v>0.36235676686041185</v>
      </c>
      <c r="W166" s="347">
        <v>0.3615451148865792</v>
      </c>
      <c r="X166" s="347">
        <v>0.36121728951894888</v>
      </c>
      <c r="Y166" s="381">
        <v>0.36121728951894888</v>
      </c>
      <c r="Z166" s="310">
        <f t="shared" si="73"/>
        <v>0.27479209352776779</v>
      </c>
      <c r="AA166" s="312">
        <f t="shared" si="74"/>
        <v>0.31147768554819005</v>
      </c>
      <c r="AB166" s="948">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49">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6">
        <f t="shared" si="81"/>
        <v>0</v>
      </c>
      <c r="AE166" s="1230">
        <f t="shared" si="78"/>
        <v>0.18319229101414441</v>
      </c>
      <c r="AF166" s="1231">
        <f t="shared" si="79"/>
        <v>0.27479209352776779</v>
      </c>
      <c r="AG166" s="1231">
        <f t="shared" si="80"/>
        <v>0.4579843845419122</v>
      </c>
      <c r="AH166" s="1172">
        <f t="shared" si="76"/>
        <v>0.39999680599891646</v>
      </c>
      <c r="AI166" s="1232">
        <f t="shared" si="77"/>
        <v>0.60000319400108348</v>
      </c>
      <c r="AJ166" s="227"/>
      <c r="AK166" s="227"/>
      <c r="AL166" s="227"/>
      <c r="AM166" s="227"/>
    </row>
    <row r="167" spans="1:39" x14ac:dyDescent="0.2">
      <c r="A167" s="329">
        <v>2046</v>
      </c>
      <c r="B167" s="342">
        <v>0.54248660047543285</v>
      </c>
      <c r="C167" s="343">
        <v>0.45365504417468683</v>
      </c>
      <c r="D167" s="343">
        <v>0.35420548040359578</v>
      </c>
      <c r="E167" s="343">
        <v>0.31130718827024478</v>
      </c>
      <c r="F167" s="343">
        <v>0.36269084564694309</v>
      </c>
      <c r="G167" s="343">
        <v>0.35839896591452347</v>
      </c>
      <c r="H167" s="343">
        <v>0.3555079555354746</v>
      </c>
      <c r="I167" s="343">
        <v>0.35467127207529486</v>
      </c>
      <c r="J167" s="343">
        <v>0.35433339051253765</v>
      </c>
      <c r="K167" s="343">
        <v>0.35433339051253765</v>
      </c>
      <c r="L167" s="379">
        <v>0.35433339051253765</v>
      </c>
      <c r="M167" s="282">
        <f t="shared" si="71"/>
        <v>0.16867756933557207</v>
      </c>
      <c r="N167" s="284">
        <f t="shared" si="72"/>
        <v>0.18077334721423136</v>
      </c>
      <c r="O167" s="342">
        <v>0.54248660047543285</v>
      </c>
      <c r="P167" s="343">
        <v>0.44006637123743308</v>
      </c>
      <c r="Q167" s="343">
        <v>0.33962671027379671</v>
      </c>
      <c r="R167" s="343">
        <v>0.30699897854459374</v>
      </c>
      <c r="S167" s="343">
        <v>0.36038298560790322</v>
      </c>
      <c r="T167" s="343">
        <v>0.35676400926277096</v>
      </c>
      <c r="U167" s="343">
        <v>0.3555079555354746</v>
      </c>
      <c r="V167" s="343">
        <v>0.35467127207529486</v>
      </c>
      <c r="W167" s="343">
        <v>0.35433339051253765</v>
      </c>
      <c r="X167" s="343">
        <v>0.35433339051253765</v>
      </c>
      <c r="Y167" s="379">
        <v>0.35433339051253765</v>
      </c>
      <c r="Z167" s="282">
        <f t="shared" si="73"/>
        <v>0.25366779318122495</v>
      </c>
      <c r="AA167" s="284">
        <f t="shared" si="74"/>
        <v>0.28958873214749559</v>
      </c>
      <c r="AB167" s="948">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49">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6">
        <f t="shared" si="81"/>
        <v>0</v>
      </c>
      <c r="AE167" s="1230">
        <f t="shared" si="78"/>
        <v>0.16867756933557207</v>
      </c>
      <c r="AF167" s="1231">
        <f t="shared" si="79"/>
        <v>0.25366779318122495</v>
      </c>
      <c r="AG167" s="1231">
        <f t="shared" si="80"/>
        <v>0.422345362516797</v>
      </c>
      <c r="AH167" s="1172">
        <f t="shared" si="76"/>
        <v>0.39938302703362494</v>
      </c>
      <c r="AI167" s="1232">
        <f t="shared" si="77"/>
        <v>0.60061697296637506</v>
      </c>
      <c r="AJ167" s="227"/>
      <c r="AK167" s="227"/>
      <c r="AL167" s="227"/>
      <c r="AM167" s="227"/>
    </row>
    <row r="168" spans="1:39" x14ac:dyDescent="0.2">
      <c r="A168" s="330">
        <v>2047</v>
      </c>
      <c r="B168" s="344">
        <v>0.52060340769633229</v>
      </c>
      <c r="C168" s="345">
        <v>0.40587948536789975</v>
      </c>
      <c r="D168" s="345">
        <v>0.31687304195220023</v>
      </c>
      <c r="E168" s="345">
        <v>0.28931572474728412</v>
      </c>
      <c r="F168" s="345">
        <v>0.35393333811579741</v>
      </c>
      <c r="G168" s="345">
        <v>0.3522666461716068</v>
      </c>
      <c r="H168" s="345">
        <v>0.35013400719191301</v>
      </c>
      <c r="I168" s="345">
        <v>0.34978975900079934</v>
      </c>
      <c r="J168" s="345">
        <v>0.34978975900079934</v>
      </c>
      <c r="K168" s="345">
        <v>0.34978975900079934</v>
      </c>
      <c r="L168" s="380">
        <v>0.34978975900079934</v>
      </c>
      <c r="M168" s="296">
        <f t="shared" si="71"/>
        <v>0.15525350238389055</v>
      </c>
      <c r="N168" s="298">
        <f t="shared" si="72"/>
        <v>0.16804505075225545</v>
      </c>
      <c r="O168" s="344">
        <v>0.52718072766242419</v>
      </c>
      <c r="P168" s="345">
        <v>0.38924867635648241</v>
      </c>
      <c r="Q168" s="345">
        <v>0.30888670801042645</v>
      </c>
      <c r="R168" s="345">
        <v>0.28590948687943224</v>
      </c>
      <c r="S168" s="345">
        <v>0.3522666461716068</v>
      </c>
      <c r="T168" s="345">
        <v>0.35098654665788331</v>
      </c>
      <c r="U168" s="345">
        <v>0.34978975900079934</v>
      </c>
      <c r="V168" s="345">
        <v>0.34978975900079934</v>
      </c>
      <c r="W168" s="345">
        <v>0.34978975900079934</v>
      </c>
      <c r="X168" s="345">
        <v>0.34978975900079934</v>
      </c>
      <c r="Y168" s="380">
        <v>0.34978975900079934</v>
      </c>
      <c r="Z168" s="296">
        <f t="shared" si="73"/>
        <v>0.23392587437676779</v>
      </c>
      <c r="AA168" s="298">
        <f t="shared" si="74"/>
        <v>0.27037774119857927</v>
      </c>
      <c r="AB168" s="948">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49">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6">
        <f t="shared" si="81"/>
        <v>0</v>
      </c>
      <c r="AE168" s="1230">
        <f t="shared" si="78"/>
        <v>0.15525350238389055</v>
      </c>
      <c r="AF168" s="1231">
        <f t="shared" si="79"/>
        <v>0.23392587437676779</v>
      </c>
      <c r="AG168" s="1231">
        <f t="shared" si="80"/>
        <v>0.38917937676065834</v>
      </c>
      <c r="AH168" s="1172">
        <f t="shared" si="76"/>
        <v>0.39892530708113549</v>
      </c>
      <c r="AI168" s="1232">
        <f t="shared" si="77"/>
        <v>0.60107469291886451</v>
      </c>
      <c r="AJ168" s="227"/>
      <c r="AK168" s="227"/>
      <c r="AL168" s="227"/>
      <c r="AM168" s="227"/>
    </row>
    <row r="169" spans="1:39" x14ac:dyDescent="0.2">
      <c r="A169" s="330">
        <v>2048</v>
      </c>
      <c r="B169" s="344">
        <v>0.51415417348556702</v>
      </c>
      <c r="C169" s="345">
        <v>0.36195608072712471</v>
      </c>
      <c r="D169" s="345">
        <v>0.29346032071592354</v>
      </c>
      <c r="E169" s="345">
        <v>0.27538649426947892</v>
      </c>
      <c r="F169" s="345">
        <v>0.349395138700202</v>
      </c>
      <c r="G169" s="345">
        <v>0.3481005829151716</v>
      </c>
      <c r="H169" s="345">
        <v>0.34689044726506801</v>
      </c>
      <c r="I169" s="345">
        <v>0.34689044726506801</v>
      </c>
      <c r="J169" s="345">
        <v>0.34689044726506801</v>
      </c>
      <c r="K169" s="345">
        <v>0.34689044726506801</v>
      </c>
      <c r="L169" s="380">
        <v>0.34689044726506801</v>
      </c>
      <c r="M169" s="296">
        <f t="shared" si="71"/>
        <v>0.14528985445019801</v>
      </c>
      <c r="N169" s="298">
        <f t="shared" si="72"/>
        <v>0.15929084456665951</v>
      </c>
      <c r="O169" s="344">
        <v>0.51415417348556702</v>
      </c>
      <c r="P169" s="345">
        <v>0.35182581445463623</v>
      </c>
      <c r="Q169" s="345">
        <v>0.28911533802521322</v>
      </c>
      <c r="R169" s="345">
        <v>0.27295316732633618</v>
      </c>
      <c r="S169" s="345">
        <v>0.3481005829151716</v>
      </c>
      <c r="T169" s="345">
        <v>0.34723851834491998</v>
      </c>
      <c r="U169" s="345">
        <v>0.34689044726506801</v>
      </c>
      <c r="V169" s="345">
        <v>0.34689044726506801</v>
      </c>
      <c r="W169" s="345">
        <v>0.34689044726506801</v>
      </c>
      <c r="X169" s="345">
        <v>0.34689044726506801</v>
      </c>
      <c r="Y169" s="380">
        <v>0.34689044726506801</v>
      </c>
      <c r="Z169" s="296">
        <f t="shared" si="73"/>
        <v>0.21965887999566561</v>
      </c>
      <c r="AA169" s="298">
        <f t="shared" si="74"/>
        <v>0.25596214740736734</v>
      </c>
      <c r="AB169" s="948">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49">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6">
        <f t="shared" si="81"/>
        <v>0</v>
      </c>
      <c r="AE169" s="1230">
        <f t="shared" si="78"/>
        <v>0.14528985445019801</v>
      </c>
      <c r="AF169" s="1231">
        <f t="shared" si="79"/>
        <v>0.21965887999566561</v>
      </c>
      <c r="AG169" s="1231">
        <f t="shared" si="80"/>
        <v>0.36494873444586362</v>
      </c>
      <c r="AH169" s="1172">
        <f t="shared" si="76"/>
        <v>0.39811031176969397</v>
      </c>
      <c r="AI169" s="1232">
        <f t="shared" si="77"/>
        <v>0.60188968823030609</v>
      </c>
      <c r="AJ169" s="227"/>
      <c r="AK169" s="227"/>
      <c r="AL169" s="227"/>
      <c r="AM169" s="227"/>
    </row>
    <row r="170" spans="1:39" x14ac:dyDescent="0.2">
      <c r="A170" s="330">
        <v>2049</v>
      </c>
      <c r="B170" s="344">
        <v>0.50517555359508026</v>
      </c>
      <c r="C170" s="345">
        <v>0.33208465438106144</v>
      </c>
      <c r="D170" s="345">
        <v>0.28356237693239145</v>
      </c>
      <c r="E170" s="345">
        <v>0.26835566223348711</v>
      </c>
      <c r="F170" s="345">
        <v>0.34630331596790492</v>
      </c>
      <c r="G170" s="345">
        <v>0.34543559631534293</v>
      </c>
      <c r="H170" s="345">
        <v>0.345085256301778</v>
      </c>
      <c r="I170" s="345">
        <v>0.345085256301778</v>
      </c>
      <c r="J170" s="345">
        <v>0.345085256301778</v>
      </c>
      <c r="K170" s="345">
        <v>0.345085256301778</v>
      </c>
      <c r="L170" s="380">
        <v>0.345085256301778</v>
      </c>
      <c r="M170" s="296">
        <f t="shared" si="71"/>
        <v>0.13882568998694159</v>
      </c>
      <c r="N170" s="298">
        <f t="shared" si="72"/>
        <v>0.15293024040213021</v>
      </c>
      <c r="O170" s="344">
        <v>0.50558610523838321</v>
      </c>
      <c r="P170" s="345">
        <v>0.32568133486622863</v>
      </c>
      <c r="Q170" s="345">
        <v>0.27791003087523253</v>
      </c>
      <c r="R170" s="345">
        <v>0.26735284019009065</v>
      </c>
      <c r="S170" s="345">
        <v>0.34543559631534293</v>
      </c>
      <c r="T170" s="345">
        <v>0.345085256301778</v>
      </c>
      <c r="U170" s="345">
        <v>0.345085256301778</v>
      </c>
      <c r="V170" s="345">
        <v>0.345085256301778</v>
      </c>
      <c r="W170" s="345">
        <v>0.345085256301778</v>
      </c>
      <c r="X170" s="345">
        <v>0.345085256301778</v>
      </c>
      <c r="Y170" s="380">
        <v>0.345085256301778</v>
      </c>
      <c r="Z170" s="296">
        <f t="shared" si="73"/>
        <v>0.21019673995194318</v>
      </c>
      <c r="AA170" s="298">
        <f t="shared" si="74"/>
        <v>0.24624102603738368</v>
      </c>
      <c r="AB170" s="948">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49">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6">
        <f t="shared" si="81"/>
        <v>0</v>
      </c>
      <c r="AE170" s="1230">
        <f t="shared" si="78"/>
        <v>0.13882568998694159</v>
      </c>
      <c r="AF170" s="1231">
        <f t="shared" si="79"/>
        <v>0.21019673995194318</v>
      </c>
      <c r="AG170" s="1231">
        <f t="shared" si="80"/>
        <v>0.34902242993888477</v>
      </c>
      <c r="AH170" s="1172">
        <f t="shared" si="76"/>
        <v>0.39775578323505034</v>
      </c>
      <c r="AI170" s="1232">
        <f t="shared" si="77"/>
        <v>0.60224421676494966</v>
      </c>
      <c r="AJ170" s="227"/>
      <c r="AK170" s="227"/>
      <c r="AL170" s="227"/>
      <c r="AM170" s="227"/>
    </row>
    <row r="171" spans="1:39" ht="13.5" thickBot="1" x14ac:dyDescent="0.25">
      <c r="A171" s="328">
        <v>2050</v>
      </c>
      <c r="B171" s="346">
        <v>0.4676846582653188</v>
      </c>
      <c r="C171" s="347">
        <v>0.30017612221637141</v>
      </c>
      <c r="D171" s="347">
        <v>0.26687263591557719</v>
      </c>
      <c r="E171" s="347">
        <v>0.26021544774830535</v>
      </c>
      <c r="F171" s="347">
        <v>0.34268182911265327</v>
      </c>
      <c r="G171" s="347">
        <v>0.34232810939462344</v>
      </c>
      <c r="H171" s="347">
        <v>0.34232810939462344</v>
      </c>
      <c r="I171" s="347">
        <v>0.34232810939462344</v>
      </c>
      <c r="J171" s="347">
        <v>0.34232810939462344</v>
      </c>
      <c r="K171" s="347">
        <v>0.34232810939462344</v>
      </c>
      <c r="L171" s="381">
        <v>0.34232810939462344</v>
      </c>
      <c r="M171" s="310">
        <f t="shared" si="71"/>
        <v>0.12924942367491019</v>
      </c>
      <c r="N171" s="312">
        <f t="shared" si="72"/>
        <v>0.14120804075011706</v>
      </c>
      <c r="O171" s="346">
        <v>0.47033590003060616</v>
      </c>
      <c r="P171" s="347">
        <v>0.29225641107124101</v>
      </c>
      <c r="Q171" s="347">
        <v>0.26444773214760614</v>
      </c>
      <c r="R171" s="347">
        <v>0.26000834507618048</v>
      </c>
      <c r="S171" s="347">
        <v>0.34232810939462344</v>
      </c>
      <c r="T171" s="347">
        <v>0.34232810939462344</v>
      </c>
      <c r="U171" s="347">
        <v>0.34232810939462344</v>
      </c>
      <c r="V171" s="347">
        <v>0.34232810939462344</v>
      </c>
      <c r="W171" s="347">
        <v>0.34232810939462344</v>
      </c>
      <c r="X171" s="347">
        <v>0.34232810939462344</v>
      </c>
      <c r="Y171" s="381">
        <v>0.34232810939462344</v>
      </c>
      <c r="Z171" s="310">
        <f t="shared" si="73"/>
        <v>0.19535575204287384</v>
      </c>
      <c r="AA171" s="312">
        <f t="shared" si="74"/>
        <v>0.22720778033829586</v>
      </c>
      <c r="AB171" s="950">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1">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7">
        <f t="shared" si="81"/>
        <v>0</v>
      </c>
      <c r="AE171" s="1233">
        <f t="shared" si="78"/>
        <v>0.12924942367491019</v>
      </c>
      <c r="AF171" s="1234">
        <f t="shared" si="79"/>
        <v>0.19535575204287384</v>
      </c>
      <c r="AG171" s="1234">
        <f t="shared" si="80"/>
        <v>0.32460517571778402</v>
      </c>
      <c r="AH171" s="1235">
        <f t="shared" si="76"/>
        <v>0.39817425396593592</v>
      </c>
      <c r="AI171" s="1236">
        <f t="shared" si="77"/>
        <v>0.60182574603406414</v>
      </c>
      <c r="AJ171" s="227"/>
      <c r="AK171" s="227"/>
      <c r="AL171" s="227"/>
      <c r="AM171" s="227"/>
    </row>
    <row r="172" spans="1:39" x14ac:dyDescent="0.2">
      <c r="B172" s="227" t="s">
        <v>240</v>
      </c>
      <c r="O172" s="227" t="s">
        <v>240</v>
      </c>
      <c r="W172" s="323"/>
      <c r="X172" s="323"/>
      <c r="Y172" s="323"/>
      <c r="AJ172" s="227"/>
      <c r="AK172" s="227"/>
      <c r="AL172" s="227"/>
      <c r="AM172" s="227"/>
    </row>
    <row r="173" spans="1:39" ht="13.5" thickBot="1" x14ac:dyDescent="0.25">
      <c r="W173" s="323"/>
      <c r="X173" s="323"/>
      <c r="Y173" s="323"/>
      <c r="AI173" s="227"/>
      <c r="AJ173" s="227"/>
      <c r="AK173" s="227"/>
      <c r="AL173" s="227"/>
      <c r="AM173" s="227"/>
    </row>
    <row r="174" spans="1:39" ht="15" x14ac:dyDescent="0.25">
      <c r="A174" s="333"/>
      <c r="B174" s="613" t="s">
        <v>197</v>
      </c>
      <c r="C174" s="614"/>
      <c r="D174" s="614"/>
      <c r="E174" s="614"/>
      <c r="F174" s="614"/>
      <c r="G174" s="614"/>
      <c r="H174" s="614"/>
      <c r="I174" s="614"/>
      <c r="J174" s="614"/>
      <c r="K174" s="614"/>
      <c r="L174" s="614"/>
      <c r="M174" s="614"/>
      <c r="N174" s="615"/>
      <c r="O174" s="613" t="s">
        <v>198</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4" t="s">
        <v>267</v>
      </c>
      <c r="AD175" s="234" t="b">
        <f>INDEX(TECH_OPT_FUEL2_Cls3,MATCH(RIGHT(O174),TECH_OPT_ROWS_Cls3,0))&lt;&gt;"N/A"</f>
        <v>0</v>
      </c>
      <c r="AI175" s="227"/>
      <c r="AJ175" s="227"/>
      <c r="AK175" s="227"/>
      <c r="AL175" s="227"/>
      <c r="AM175" s="227"/>
    </row>
    <row r="176" spans="1:39" ht="13.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MATCH(RIGHT(O174),TECH_OPT_ROWS_Cls3,0)</f>
        <v>4</v>
      </c>
      <c r="AI176" s="227"/>
      <c r="AJ176" s="227"/>
      <c r="AK176" s="227"/>
      <c r="AL176" s="227"/>
      <c r="AM176" s="227"/>
    </row>
    <row r="177" spans="1:39" ht="14.25"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09">
        <v>1.1022999100839563E-4</v>
      </c>
      <c r="Z177" s="1214"/>
      <c r="AA177" s="1215"/>
      <c r="AI177" s="227"/>
      <c r="AJ177" s="227"/>
      <c r="AK177" s="227"/>
      <c r="AL177" s="227"/>
      <c r="AM177" s="227"/>
    </row>
    <row r="178" spans="1:39" x14ac:dyDescent="0.2">
      <c r="A178" s="331" t="s">
        <v>125</v>
      </c>
      <c r="B178" s="923">
        <f t="array" ref="B178:L178">TRANSPOSE(Cls3CentVMTShr)</f>
        <v>7.4407503791532936E-2</v>
      </c>
      <c r="C178" s="924">
        <v>0.15052192967997111</v>
      </c>
      <c r="D178" s="924">
        <v>8.9028098283245441E-2</v>
      </c>
      <c r="E178" s="924">
        <v>4.5356257743642811E-2</v>
      </c>
      <c r="F178" s="924">
        <v>2.1016507050137231E-2</v>
      </c>
      <c r="G178" s="924">
        <v>4.9007047894213725E-4</v>
      </c>
      <c r="H178" s="924">
        <v>1.4797621296467818E-2</v>
      </c>
      <c r="I178" s="924">
        <v>0</v>
      </c>
      <c r="J178" s="924">
        <v>0</v>
      </c>
      <c r="K178" s="924">
        <v>3.7103078033661591E-3</v>
      </c>
      <c r="L178" s="1210">
        <v>0</v>
      </c>
      <c r="M178" s="1211"/>
      <c r="N178" s="1212"/>
      <c r="O178" s="923">
        <f t="array" ref="O178:Y178">TRANSPOSE(Cls3NCentVMTShr)</f>
        <v>0.11481596497083862</v>
      </c>
      <c r="P178" s="924">
        <v>0.26987209279577573</v>
      </c>
      <c r="Q178" s="924">
        <v>8.3836105982992667E-2</v>
      </c>
      <c r="R178" s="924">
        <v>5.9842896537765707E-2</v>
      </c>
      <c r="S178" s="924">
        <v>1.6413649143963899E-2</v>
      </c>
      <c r="T178" s="924">
        <v>1.0165768727376887E-2</v>
      </c>
      <c r="U178" s="924">
        <v>2.0700108148562976E-2</v>
      </c>
      <c r="V178" s="924">
        <v>2.0956833812228508E-2</v>
      </c>
      <c r="W178" s="924">
        <v>3.1584958359553582E-3</v>
      </c>
      <c r="X178" s="924">
        <v>0</v>
      </c>
      <c r="Y178" s="925">
        <v>9.0978791723388369E-4</v>
      </c>
      <c r="Z178" s="1211"/>
      <c r="AA178" s="1212"/>
      <c r="AB178" s="1551" t="str">
        <f>"% of miles on f2 for Tech "&amp; RIGHT(O173)&amp;" adopters"</f>
        <v>% of miles on f2 for Tech  adopters</v>
      </c>
      <c r="AC178" s="1552"/>
      <c r="AD178" s="1553"/>
      <c r="AE178" s="1237" t="s">
        <v>298</v>
      </c>
      <c r="AF178" s="1238"/>
      <c r="AG178" s="1238"/>
      <c r="AH178" s="1228" t="s">
        <v>297</v>
      </c>
      <c r="AI178" s="1229"/>
      <c r="AJ178" s="227"/>
      <c r="AK178" s="227"/>
      <c r="AL178" s="227"/>
      <c r="AM178" s="227"/>
    </row>
    <row r="179" spans="1:39" ht="13.5" thickBot="1" x14ac:dyDescent="0.25">
      <c r="A179" s="942" t="s">
        <v>266</v>
      </c>
      <c r="B179" s="933">
        <f t="array" ref="B179:L179">TRANSPOSE(Cls3CentVMT/OPDAYS_Cls3)</f>
        <v>49.202805162026571</v>
      </c>
      <c r="C179" s="934">
        <v>115.99623692884222</v>
      </c>
      <c r="D179" s="934">
        <v>190.94140758026836</v>
      </c>
      <c r="E179" s="934">
        <v>282.72824571583544</v>
      </c>
      <c r="F179" s="934">
        <v>349.10577157713089</v>
      </c>
      <c r="G179" s="934">
        <v>408.92399999999998</v>
      </c>
      <c r="H179" s="934">
        <v>540.31926836851005</v>
      </c>
      <c r="I179" s="934">
        <v>600</v>
      </c>
      <c r="J179" s="934">
        <v>680</v>
      </c>
      <c r="K179" s="934">
        <v>800.00000000000011</v>
      </c>
      <c r="L179" s="935">
        <v>800</v>
      </c>
      <c r="M179" s="931"/>
      <c r="N179" s="932"/>
      <c r="O179" s="933">
        <f t="array" ref="O179:Y179">TRANSPOSE(Cls3NCentVMT/OPDAYS_Cls3)</f>
        <v>45.820527909508108</v>
      </c>
      <c r="P179" s="934">
        <v>114.90604343518244</v>
      </c>
      <c r="Q179" s="934">
        <v>196.29405935940918</v>
      </c>
      <c r="R179" s="934">
        <v>286.46435582159182</v>
      </c>
      <c r="S179" s="934">
        <v>352.24339419308075</v>
      </c>
      <c r="T179" s="934">
        <v>427.07804424634116</v>
      </c>
      <c r="U179" s="934">
        <v>519.59880241076587</v>
      </c>
      <c r="V179" s="934">
        <v>608.4346682070543</v>
      </c>
      <c r="W179" s="934">
        <v>703.2</v>
      </c>
      <c r="X179" s="934">
        <v>760</v>
      </c>
      <c r="Y179" s="1213">
        <v>900</v>
      </c>
      <c r="Z179" s="943"/>
      <c r="AA179" s="932"/>
      <c r="AB179" s="945" t="s">
        <v>186</v>
      </c>
      <c r="AC179" s="946" t="s">
        <v>15</v>
      </c>
      <c r="AD179" s="947" t="s">
        <v>18</v>
      </c>
      <c r="AE179" s="330" t="s">
        <v>186</v>
      </c>
      <c r="AF179" s="1239" t="s">
        <v>15</v>
      </c>
      <c r="AG179" s="1239" t="s">
        <v>18</v>
      </c>
      <c r="AH179" s="1240" t="s">
        <v>186</v>
      </c>
      <c r="AI179" s="1241" t="s">
        <v>15</v>
      </c>
    </row>
    <row r="180" spans="1:39" ht="13.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8">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49">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6">
        <f>AB180*AH180+AC180*AI180</f>
        <v>0</v>
      </c>
      <c r="AE180" s="1230">
        <f t="shared" ref="AE180:AE194" si="82">SUMPRODUCT($B$74:$L$74,B180:L180)</f>
        <v>0</v>
      </c>
      <c r="AF180" s="1231">
        <f t="shared" ref="AF180:AF194" si="83">SUMPRODUCT($O$74:$Y$74,O180:Y180)</f>
        <v>0</v>
      </c>
      <c r="AG180" s="1231">
        <f t="shared" ref="AG180:AG194" si="84">SUM(AE180:AF180)</f>
        <v>0</v>
      </c>
      <c r="AH180" s="1172">
        <f>IF(AG180&gt;0,AE180/AG180,0)</f>
        <v>0</v>
      </c>
      <c r="AI180" s="1232">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85">SUMPRODUCT(B181:L181,$B$178:$L$178)</f>
        <v>0</v>
      </c>
      <c r="N181" s="298">
        <f t="shared" ref="N181:N223" si="86">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87">SUMPRODUCT(O181:Y181,$O$178:$Y$178)</f>
        <v>0</v>
      </c>
      <c r="AA181" s="298">
        <f t="shared" ref="AA181:AA223" si="88">SUMPRODUCT(O181:Y181,$O$177:$Y$177)</f>
        <v>0</v>
      </c>
      <c r="AB181" s="948">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49">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6">
        <f t="shared" ref="AD181:AD205" si="89">AB181*AH181+AC181*AI181</f>
        <v>0</v>
      </c>
      <c r="AE181" s="1230">
        <f t="shared" si="82"/>
        <v>0</v>
      </c>
      <c r="AF181" s="1231">
        <f t="shared" si="83"/>
        <v>0</v>
      </c>
      <c r="AG181" s="1231">
        <f t="shared" si="84"/>
        <v>0</v>
      </c>
      <c r="AH181" s="1172">
        <f t="shared" ref="AH181:AH223" si="90">IF(AG181&gt;0,AE181/AG181,0)</f>
        <v>0</v>
      </c>
      <c r="AI181" s="1232">
        <f t="shared" ref="AI181:AI223" si="91">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85"/>
        <v>0</v>
      </c>
      <c r="N182" s="298">
        <f t="shared" si="86"/>
        <v>0</v>
      </c>
      <c r="O182" s="344">
        <v>0</v>
      </c>
      <c r="P182" s="345">
        <v>0</v>
      </c>
      <c r="Q182" s="345">
        <v>0</v>
      </c>
      <c r="R182" s="345">
        <v>0</v>
      </c>
      <c r="S182" s="345">
        <v>0</v>
      </c>
      <c r="T182" s="345">
        <v>0</v>
      </c>
      <c r="U182" s="345">
        <v>0</v>
      </c>
      <c r="V182" s="345">
        <v>0</v>
      </c>
      <c r="W182" s="345">
        <v>0</v>
      </c>
      <c r="X182" s="345">
        <v>0</v>
      </c>
      <c r="Y182" s="380">
        <v>0</v>
      </c>
      <c r="Z182" s="296">
        <f t="shared" si="87"/>
        <v>0</v>
      </c>
      <c r="AA182" s="298">
        <f t="shared" si="88"/>
        <v>0</v>
      </c>
      <c r="AB182" s="948">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49">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6">
        <f t="shared" si="89"/>
        <v>0</v>
      </c>
      <c r="AE182" s="1230">
        <f t="shared" si="82"/>
        <v>0</v>
      </c>
      <c r="AF182" s="1231">
        <f t="shared" si="83"/>
        <v>0</v>
      </c>
      <c r="AG182" s="1231">
        <f t="shared" si="84"/>
        <v>0</v>
      </c>
      <c r="AH182" s="1172">
        <f t="shared" si="90"/>
        <v>0</v>
      </c>
      <c r="AI182" s="1232">
        <f t="shared" si="91"/>
        <v>0</v>
      </c>
      <c r="AJ182" s="227"/>
      <c r="AK182" s="227"/>
      <c r="AL182" s="227"/>
      <c r="AM182" s="227"/>
    </row>
    <row r="183" spans="1:39" ht="13.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85"/>
        <v>0</v>
      </c>
      <c r="N183" s="312">
        <f t="shared" si="86"/>
        <v>0</v>
      </c>
      <c r="O183" s="346">
        <v>0</v>
      </c>
      <c r="P183" s="347">
        <v>0</v>
      </c>
      <c r="Q183" s="347">
        <v>0</v>
      </c>
      <c r="R183" s="347">
        <v>0</v>
      </c>
      <c r="S183" s="347">
        <v>0</v>
      </c>
      <c r="T183" s="347">
        <v>0</v>
      </c>
      <c r="U183" s="347">
        <v>0</v>
      </c>
      <c r="V183" s="347">
        <v>0</v>
      </c>
      <c r="W183" s="347">
        <v>0</v>
      </c>
      <c r="X183" s="347">
        <v>0</v>
      </c>
      <c r="Y183" s="381">
        <v>0</v>
      </c>
      <c r="Z183" s="310">
        <f t="shared" si="87"/>
        <v>0</v>
      </c>
      <c r="AA183" s="312">
        <f t="shared" si="88"/>
        <v>0</v>
      </c>
      <c r="AB183" s="948">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49">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6">
        <f t="shared" si="89"/>
        <v>0</v>
      </c>
      <c r="AE183" s="1230">
        <f t="shared" si="82"/>
        <v>0</v>
      </c>
      <c r="AF183" s="1231">
        <f t="shared" si="83"/>
        <v>0</v>
      </c>
      <c r="AG183" s="1231">
        <f t="shared" si="84"/>
        <v>0</v>
      </c>
      <c r="AH183" s="1172">
        <f t="shared" si="90"/>
        <v>0</v>
      </c>
      <c r="AI183" s="1232">
        <f t="shared" si="91"/>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85"/>
        <v>0</v>
      </c>
      <c r="N184" s="284">
        <f t="shared" si="86"/>
        <v>0</v>
      </c>
      <c r="O184" s="342">
        <v>0</v>
      </c>
      <c r="P184" s="343">
        <v>0</v>
      </c>
      <c r="Q184" s="343">
        <v>0</v>
      </c>
      <c r="R184" s="343">
        <v>0</v>
      </c>
      <c r="S184" s="343">
        <v>0</v>
      </c>
      <c r="T184" s="343">
        <v>0</v>
      </c>
      <c r="U184" s="343">
        <v>0</v>
      </c>
      <c r="V184" s="343">
        <v>0</v>
      </c>
      <c r="W184" s="343">
        <v>0</v>
      </c>
      <c r="X184" s="343">
        <v>0</v>
      </c>
      <c r="Y184" s="379">
        <v>0</v>
      </c>
      <c r="Z184" s="282">
        <f t="shared" si="87"/>
        <v>0</v>
      </c>
      <c r="AA184" s="284">
        <f t="shared" si="88"/>
        <v>0</v>
      </c>
      <c r="AB184" s="948">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49">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6">
        <f t="shared" si="89"/>
        <v>0</v>
      </c>
      <c r="AE184" s="1230">
        <f t="shared" si="82"/>
        <v>0</v>
      </c>
      <c r="AF184" s="1231">
        <f t="shared" si="83"/>
        <v>0</v>
      </c>
      <c r="AG184" s="1231">
        <f t="shared" si="84"/>
        <v>0</v>
      </c>
      <c r="AH184" s="1172">
        <f t="shared" si="90"/>
        <v>0</v>
      </c>
      <c r="AI184" s="1232">
        <f t="shared" si="91"/>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85"/>
        <v>0</v>
      </c>
      <c r="N185" s="298">
        <f t="shared" si="86"/>
        <v>0</v>
      </c>
      <c r="O185" s="344">
        <v>0</v>
      </c>
      <c r="P185" s="345">
        <v>0</v>
      </c>
      <c r="Q185" s="345">
        <v>0</v>
      </c>
      <c r="R185" s="345">
        <v>0</v>
      </c>
      <c r="S185" s="345">
        <v>0</v>
      </c>
      <c r="T185" s="345">
        <v>0</v>
      </c>
      <c r="U185" s="345">
        <v>0</v>
      </c>
      <c r="V185" s="345">
        <v>0</v>
      </c>
      <c r="W185" s="345">
        <v>0</v>
      </c>
      <c r="X185" s="345">
        <v>0</v>
      </c>
      <c r="Y185" s="380">
        <v>0</v>
      </c>
      <c r="Z185" s="296">
        <f t="shared" si="87"/>
        <v>0</v>
      </c>
      <c r="AA185" s="298">
        <f t="shared" si="88"/>
        <v>0</v>
      </c>
      <c r="AB185" s="948">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49">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6">
        <f t="shared" si="89"/>
        <v>0</v>
      </c>
      <c r="AE185" s="1230">
        <f t="shared" si="82"/>
        <v>0</v>
      </c>
      <c r="AF185" s="1231">
        <f t="shared" si="83"/>
        <v>0</v>
      </c>
      <c r="AG185" s="1231">
        <f t="shared" si="84"/>
        <v>0</v>
      </c>
      <c r="AH185" s="1172">
        <f t="shared" si="90"/>
        <v>0</v>
      </c>
      <c r="AI185" s="1232">
        <f t="shared" si="91"/>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85"/>
        <v>0</v>
      </c>
      <c r="N186" s="298">
        <f t="shared" si="86"/>
        <v>0</v>
      </c>
      <c r="O186" s="344">
        <v>0</v>
      </c>
      <c r="P186" s="345">
        <v>0</v>
      </c>
      <c r="Q186" s="345">
        <v>0</v>
      </c>
      <c r="R186" s="345">
        <v>0</v>
      </c>
      <c r="S186" s="345">
        <v>0</v>
      </c>
      <c r="T186" s="345">
        <v>0</v>
      </c>
      <c r="U186" s="345">
        <v>0</v>
      </c>
      <c r="V186" s="345">
        <v>0</v>
      </c>
      <c r="W186" s="345">
        <v>0</v>
      </c>
      <c r="X186" s="345">
        <v>0</v>
      </c>
      <c r="Y186" s="380">
        <v>0</v>
      </c>
      <c r="Z186" s="296">
        <f t="shared" si="87"/>
        <v>0</v>
      </c>
      <c r="AA186" s="298">
        <f t="shared" si="88"/>
        <v>0</v>
      </c>
      <c r="AB186" s="948">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49">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6">
        <f t="shared" si="89"/>
        <v>0</v>
      </c>
      <c r="AE186" s="1230">
        <f t="shared" si="82"/>
        <v>0</v>
      </c>
      <c r="AF186" s="1231">
        <f t="shared" si="83"/>
        <v>0</v>
      </c>
      <c r="AG186" s="1231">
        <f t="shared" si="84"/>
        <v>0</v>
      </c>
      <c r="AH186" s="1172">
        <f t="shared" si="90"/>
        <v>0</v>
      </c>
      <c r="AI186" s="1232">
        <f t="shared" si="91"/>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85"/>
        <v>0</v>
      </c>
      <c r="N187" s="298">
        <f t="shared" si="86"/>
        <v>0</v>
      </c>
      <c r="O187" s="344">
        <v>0</v>
      </c>
      <c r="P187" s="345">
        <v>0</v>
      </c>
      <c r="Q187" s="345">
        <v>0</v>
      </c>
      <c r="R187" s="345">
        <v>0</v>
      </c>
      <c r="S187" s="345">
        <v>0</v>
      </c>
      <c r="T187" s="345">
        <v>0</v>
      </c>
      <c r="U187" s="345">
        <v>0</v>
      </c>
      <c r="V187" s="345">
        <v>0</v>
      </c>
      <c r="W187" s="345">
        <v>0</v>
      </c>
      <c r="X187" s="345">
        <v>0</v>
      </c>
      <c r="Y187" s="380">
        <v>0</v>
      </c>
      <c r="Z187" s="296">
        <f t="shared" si="87"/>
        <v>0</v>
      </c>
      <c r="AA187" s="298">
        <f t="shared" si="88"/>
        <v>0</v>
      </c>
      <c r="AB187" s="948">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49">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6">
        <f t="shared" si="89"/>
        <v>0</v>
      </c>
      <c r="AE187" s="1230">
        <f t="shared" si="82"/>
        <v>0</v>
      </c>
      <c r="AF187" s="1231">
        <f t="shared" si="83"/>
        <v>0</v>
      </c>
      <c r="AG187" s="1231">
        <f t="shared" si="84"/>
        <v>0</v>
      </c>
      <c r="AH187" s="1172">
        <f t="shared" si="90"/>
        <v>0</v>
      </c>
      <c r="AI187" s="1232">
        <f t="shared" si="91"/>
        <v>0</v>
      </c>
      <c r="AJ187" s="227"/>
      <c r="AK187" s="227"/>
      <c r="AL187" s="227"/>
      <c r="AM187" s="227"/>
    </row>
    <row r="188" spans="1:39" ht="13.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85"/>
        <v>0</v>
      </c>
      <c r="N188" s="312">
        <f t="shared" si="86"/>
        <v>0</v>
      </c>
      <c r="O188" s="346">
        <v>0</v>
      </c>
      <c r="P188" s="347">
        <v>0</v>
      </c>
      <c r="Q188" s="347">
        <v>0</v>
      </c>
      <c r="R188" s="347">
        <v>0</v>
      </c>
      <c r="S188" s="347">
        <v>0</v>
      </c>
      <c r="T188" s="347">
        <v>0</v>
      </c>
      <c r="U188" s="347">
        <v>0</v>
      </c>
      <c r="V188" s="347">
        <v>0</v>
      </c>
      <c r="W188" s="347">
        <v>0</v>
      </c>
      <c r="X188" s="347">
        <v>0</v>
      </c>
      <c r="Y188" s="381">
        <v>0</v>
      </c>
      <c r="Z188" s="310">
        <f t="shared" si="87"/>
        <v>0</v>
      </c>
      <c r="AA188" s="312">
        <f t="shared" si="88"/>
        <v>0</v>
      </c>
      <c r="AB188" s="948">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49">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6">
        <f t="shared" si="89"/>
        <v>0</v>
      </c>
      <c r="AE188" s="1230">
        <f t="shared" si="82"/>
        <v>0</v>
      </c>
      <c r="AF188" s="1231">
        <f t="shared" si="83"/>
        <v>0</v>
      </c>
      <c r="AG188" s="1231">
        <f t="shared" si="84"/>
        <v>0</v>
      </c>
      <c r="AH188" s="1172">
        <f t="shared" si="90"/>
        <v>0</v>
      </c>
      <c r="AI188" s="1232">
        <f t="shared" si="91"/>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85"/>
        <v>0</v>
      </c>
      <c r="N189" s="284">
        <f t="shared" si="86"/>
        <v>0</v>
      </c>
      <c r="O189" s="342">
        <v>0</v>
      </c>
      <c r="P189" s="343">
        <v>0</v>
      </c>
      <c r="Q189" s="343">
        <v>0</v>
      </c>
      <c r="R189" s="343">
        <v>0</v>
      </c>
      <c r="S189" s="343">
        <v>0</v>
      </c>
      <c r="T189" s="343">
        <v>0</v>
      </c>
      <c r="U189" s="343">
        <v>0</v>
      </c>
      <c r="V189" s="343">
        <v>0</v>
      </c>
      <c r="W189" s="343">
        <v>0</v>
      </c>
      <c r="X189" s="343">
        <v>0</v>
      </c>
      <c r="Y189" s="379">
        <v>0</v>
      </c>
      <c r="Z189" s="282">
        <f t="shared" si="87"/>
        <v>0</v>
      </c>
      <c r="AA189" s="284">
        <f t="shared" si="88"/>
        <v>0</v>
      </c>
      <c r="AB189" s="948">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49">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6">
        <f t="shared" si="89"/>
        <v>0</v>
      </c>
      <c r="AE189" s="1230">
        <f t="shared" si="82"/>
        <v>0</v>
      </c>
      <c r="AF189" s="1231">
        <f t="shared" si="83"/>
        <v>0</v>
      </c>
      <c r="AG189" s="1231">
        <f t="shared" si="84"/>
        <v>0</v>
      </c>
      <c r="AH189" s="1172">
        <f t="shared" si="90"/>
        <v>0</v>
      </c>
      <c r="AI189" s="1232">
        <f t="shared" si="91"/>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85"/>
        <v>0</v>
      </c>
      <c r="N190" s="298">
        <f t="shared" si="86"/>
        <v>0</v>
      </c>
      <c r="O190" s="344">
        <v>0</v>
      </c>
      <c r="P190" s="345">
        <v>0</v>
      </c>
      <c r="Q190" s="345">
        <v>0</v>
      </c>
      <c r="R190" s="345">
        <v>0</v>
      </c>
      <c r="S190" s="345">
        <v>0</v>
      </c>
      <c r="T190" s="345">
        <v>0</v>
      </c>
      <c r="U190" s="345">
        <v>0</v>
      </c>
      <c r="V190" s="345">
        <v>0</v>
      </c>
      <c r="W190" s="345">
        <v>0</v>
      </c>
      <c r="X190" s="345">
        <v>0</v>
      </c>
      <c r="Y190" s="380">
        <v>0</v>
      </c>
      <c r="Z190" s="296">
        <f t="shared" si="87"/>
        <v>0</v>
      </c>
      <c r="AA190" s="298">
        <f t="shared" si="88"/>
        <v>0</v>
      </c>
      <c r="AB190" s="948">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49">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6">
        <f t="shared" si="89"/>
        <v>0</v>
      </c>
      <c r="AE190" s="1230">
        <f t="shared" si="82"/>
        <v>0</v>
      </c>
      <c r="AF190" s="1231">
        <f t="shared" si="83"/>
        <v>0</v>
      </c>
      <c r="AG190" s="1231">
        <f t="shared" si="84"/>
        <v>0</v>
      </c>
      <c r="AH190" s="1172">
        <f t="shared" si="90"/>
        <v>0</v>
      </c>
      <c r="AI190" s="1232">
        <f t="shared" si="91"/>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85"/>
        <v>0</v>
      </c>
      <c r="N191" s="298">
        <f t="shared" si="86"/>
        <v>0</v>
      </c>
      <c r="O191" s="344">
        <v>0</v>
      </c>
      <c r="P191" s="345">
        <v>0</v>
      </c>
      <c r="Q191" s="345">
        <v>0</v>
      </c>
      <c r="R191" s="345">
        <v>0</v>
      </c>
      <c r="S191" s="345">
        <v>0</v>
      </c>
      <c r="T191" s="345">
        <v>0</v>
      </c>
      <c r="U191" s="345">
        <v>0</v>
      </c>
      <c r="V191" s="345">
        <v>0</v>
      </c>
      <c r="W191" s="345">
        <v>0</v>
      </c>
      <c r="X191" s="345">
        <v>0</v>
      </c>
      <c r="Y191" s="380">
        <v>0</v>
      </c>
      <c r="Z191" s="296">
        <f t="shared" si="87"/>
        <v>0</v>
      </c>
      <c r="AA191" s="298">
        <f t="shared" si="88"/>
        <v>0</v>
      </c>
      <c r="AB191" s="948">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49">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6">
        <f t="shared" si="89"/>
        <v>0</v>
      </c>
      <c r="AE191" s="1230">
        <f t="shared" si="82"/>
        <v>0</v>
      </c>
      <c r="AF191" s="1231">
        <f t="shared" si="83"/>
        <v>0</v>
      </c>
      <c r="AG191" s="1231">
        <f t="shared" si="84"/>
        <v>0</v>
      </c>
      <c r="AH191" s="1172">
        <f t="shared" si="90"/>
        <v>0</v>
      </c>
      <c r="AI191" s="1232">
        <f t="shared" si="91"/>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85"/>
        <v>0</v>
      </c>
      <c r="N192" s="298">
        <f t="shared" si="86"/>
        <v>0</v>
      </c>
      <c r="O192" s="344">
        <v>0</v>
      </c>
      <c r="P192" s="345">
        <v>0</v>
      </c>
      <c r="Q192" s="345">
        <v>0</v>
      </c>
      <c r="R192" s="345">
        <v>0</v>
      </c>
      <c r="S192" s="345">
        <v>0</v>
      </c>
      <c r="T192" s="345">
        <v>0</v>
      </c>
      <c r="U192" s="345">
        <v>0</v>
      </c>
      <c r="V192" s="345">
        <v>0</v>
      </c>
      <c r="W192" s="345">
        <v>0</v>
      </c>
      <c r="X192" s="345">
        <v>0</v>
      </c>
      <c r="Y192" s="380">
        <v>0</v>
      </c>
      <c r="Z192" s="296">
        <f t="shared" si="87"/>
        <v>0</v>
      </c>
      <c r="AA192" s="298">
        <f t="shared" si="88"/>
        <v>0</v>
      </c>
      <c r="AB192" s="948">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49">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6">
        <f t="shared" si="89"/>
        <v>0</v>
      </c>
      <c r="AE192" s="1230">
        <f t="shared" si="82"/>
        <v>0</v>
      </c>
      <c r="AF192" s="1231">
        <f t="shared" si="83"/>
        <v>0</v>
      </c>
      <c r="AG192" s="1231">
        <f t="shared" si="84"/>
        <v>0</v>
      </c>
      <c r="AH192" s="1172">
        <f t="shared" si="90"/>
        <v>0</v>
      </c>
      <c r="AI192" s="1232">
        <f t="shared" si="91"/>
        <v>0</v>
      </c>
      <c r="AJ192" s="227"/>
      <c r="AK192" s="227"/>
      <c r="AL192" s="227"/>
      <c r="AM192" s="227"/>
    </row>
    <row r="193" spans="1:39" ht="13.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85"/>
        <v>0</v>
      </c>
      <c r="N193" s="312">
        <f t="shared" si="86"/>
        <v>0</v>
      </c>
      <c r="O193" s="346">
        <v>0</v>
      </c>
      <c r="P193" s="347">
        <v>0</v>
      </c>
      <c r="Q193" s="347">
        <v>0</v>
      </c>
      <c r="R193" s="347">
        <v>0</v>
      </c>
      <c r="S193" s="347">
        <v>0</v>
      </c>
      <c r="T193" s="347">
        <v>0</v>
      </c>
      <c r="U193" s="347">
        <v>0</v>
      </c>
      <c r="V193" s="347">
        <v>0</v>
      </c>
      <c r="W193" s="347">
        <v>0</v>
      </c>
      <c r="X193" s="347">
        <v>0</v>
      </c>
      <c r="Y193" s="381">
        <v>0</v>
      </c>
      <c r="Z193" s="310">
        <f t="shared" si="87"/>
        <v>0</v>
      </c>
      <c r="AA193" s="312">
        <f t="shared" si="88"/>
        <v>0</v>
      </c>
      <c r="AB193" s="948">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49">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6">
        <f t="shared" si="89"/>
        <v>0</v>
      </c>
      <c r="AE193" s="1230">
        <f t="shared" si="82"/>
        <v>0</v>
      </c>
      <c r="AF193" s="1231">
        <f t="shared" si="83"/>
        <v>0</v>
      </c>
      <c r="AG193" s="1231">
        <f t="shared" si="84"/>
        <v>0</v>
      </c>
      <c r="AH193" s="1172">
        <f t="shared" si="90"/>
        <v>0</v>
      </c>
      <c r="AI193" s="1232">
        <f t="shared" si="91"/>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85"/>
        <v>0</v>
      </c>
      <c r="N194" s="284">
        <f t="shared" si="86"/>
        <v>0</v>
      </c>
      <c r="O194" s="342">
        <v>0</v>
      </c>
      <c r="P194" s="343">
        <v>0</v>
      </c>
      <c r="Q194" s="343">
        <v>0</v>
      </c>
      <c r="R194" s="343">
        <v>0</v>
      </c>
      <c r="S194" s="343">
        <v>0</v>
      </c>
      <c r="T194" s="343">
        <v>0</v>
      </c>
      <c r="U194" s="343">
        <v>0</v>
      </c>
      <c r="V194" s="343">
        <v>0</v>
      </c>
      <c r="W194" s="343">
        <v>0</v>
      </c>
      <c r="X194" s="343">
        <v>0</v>
      </c>
      <c r="Y194" s="379">
        <v>0</v>
      </c>
      <c r="Z194" s="282">
        <f t="shared" si="87"/>
        <v>0</v>
      </c>
      <c r="AA194" s="284">
        <f t="shared" si="88"/>
        <v>0</v>
      </c>
      <c r="AB194" s="948">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49">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6">
        <f t="shared" si="89"/>
        <v>0</v>
      </c>
      <c r="AE194" s="1230">
        <f t="shared" si="82"/>
        <v>0</v>
      </c>
      <c r="AF194" s="1231">
        <f t="shared" si="83"/>
        <v>0</v>
      </c>
      <c r="AG194" s="1231">
        <f t="shared" si="84"/>
        <v>0</v>
      </c>
      <c r="AH194" s="1172">
        <f t="shared" si="90"/>
        <v>0</v>
      </c>
      <c r="AI194" s="1232">
        <f t="shared" si="91"/>
        <v>0</v>
      </c>
      <c r="AJ194" s="227"/>
      <c r="AK194" s="227"/>
      <c r="AL194" s="227"/>
      <c r="AM194" s="227"/>
    </row>
    <row r="195" spans="1:39" x14ac:dyDescent="0.2">
      <c r="A195" s="330">
        <v>2022</v>
      </c>
      <c r="B195" s="344">
        <v>0</v>
      </c>
      <c r="C195" s="345">
        <v>0</v>
      </c>
      <c r="D195" s="345">
        <v>0</v>
      </c>
      <c r="E195" s="345">
        <v>0</v>
      </c>
      <c r="F195" s="345">
        <v>0</v>
      </c>
      <c r="G195" s="345">
        <v>0</v>
      </c>
      <c r="H195" s="345">
        <v>0</v>
      </c>
      <c r="I195" s="345">
        <v>0</v>
      </c>
      <c r="J195" s="345">
        <v>0</v>
      </c>
      <c r="K195" s="345">
        <v>0</v>
      </c>
      <c r="L195" s="380">
        <v>0</v>
      </c>
      <c r="M195" s="296">
        <f t="shared" si="85"/>
        <v>0</v>
      </c>
      <c r="N195" s="298">
        <f t="shared" si="86"/>
        <v>0</v>
      </c>
      <c r="O195" s="344">
        <v>0</v>
      </c>
      <c r="P195" s="345">
        <v>0</v>
      </c>
      <c r="Q195" s="345">
        <v>0</v>
      </c>
      <c r="R195" s="345">
        <v>0</v>
      </c>
      <c r="S195" s="345">
        <v>0</v>
      </c>
      <c r="T195" s="345">
        <v>0</v>
      </c>
      <c r="U195" s="345">
        <v>0</v>
      </c>
      <c r="V195" s="345">
        <v>0</v>
      </c>
      <c r="W195" s="345">
        <v>0</v>
      </c>
      <c r="X195" s="345">
        <v>0</v>
      </c>
      <c r="Y195" s="380">
        <v>0</v>
      </c>
      <c r="Z195" s="296">
        <f t="shared" si="87"/>
        <v>0</v>
      </c>
      <c r="AA195" s="298">
        <f t="shared" si="88"/>
        <v>0</v>
      </c>
      <c r="AB195" s="948">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49">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6">
        <f t="shared" si="89"/>
        <v>0</v>
      </c>
      <c r="AE195" s="1230">
        <f>SUMPRODUCT($B$74:$L$74,B195:L195)</f>
        <v>0</v>
      </c>
      <c r="AF195" s="1231">
        <f>SUMPRODUCT($O$74:$Y$74,O195:Y195)</f>
        <v>0</v>
      </c>
      <c r="AG195" s="1231">
        <f>SUM(AE195:AF195)</f>
        <v>0</v>
      </c>
      <c r="AH195" s="1172">
        <f t="shared" si="90"/>
        <v>0</v>
      </c>
      <c r="AI195" s="1232">
        <f t="shared" si="91"/>
        <v>0</v>
      </c>
      <c r="AJ195" s="227"/>
      <c r="AK195" s="227"/>
      <c r="AL195" s="227"/>
      <c r="AM195" s="227"/>
    </row>
    <row r="196" spans="1:39" x14ac:dyDescent="0.2">
      <c r="A196" s="330">
        <v>2023</v>
      </c>
      <c r="B196" s="344">
        <v>0</v>
      </c>
      <c r="C196" s="345">
        <v>0</v>
      </c>
      <c r="D196" s="345">
        <v>0</v>
      </c>
      <c r="E196" s="345">
        <v>0</v>
      </c>
      <c r="F196" s="345">
        <v>0</v>
      </c>
      <c r="G196" s="345">
        <v>0</v>
      </c>
      <c r="H196" s="345">
        <v>0</v>
      </c>
      <c r="I196" s="345">
        <v>0</v>
      </c>
      <c r="J196" s="345">
        <v>0</v>
      </c>
      <c r="K196" s="345">
        <v>0</v>
      </c>
      <c r="L196" s="380">
        <v>0</v>
      </c>
      <c r="M196" s="296">
        <f t="shared" si="85"/>
        <v>0</v>
      </c>
      <c r="N196" s="298">
        <f t="shared" si="86"/>
        <v>0</v>
      </c>
      <c r="O196" s="344">
        <v>0</v>
      </c>
      <c r="P196" s="345">
        <v>0</v>
      </c>
      <c r="Q196" s="345">
        <v>0</v>
      </c>
      <c r="R196" s="345">
        <v>0</v>
      </c>
      <c r="S196" s="345">
        <v>0</v>
      </c>
      <c r="T196" s="345">
        <v>0</v>
      </c>
      <c r="U196" s="345">
        <v>0</v>
      </c>
      <c r="V196" s="345">
        <v>0</v>
      </c>
      <c r="W196" s="345">
        <v>0</v>
      </c>
      <c r="X196" s="345">
        <v>0</v>
      </c>
      <c r="Y196" s="380">
        <v>0</v>
      </c>
      <c r="Z196" s="296">
        <f t="shared" si="87"/>
        <v>0</v>
      </c>
      <c r="AA196" s="298">
        <f t="shared" si="88"/>
        <v>0</v>
      </c>
      <c r="AB196" s="948">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49">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6">
        <f t="shared" si="89"/>
        <v>0</v>
      </c>
      <c r="AE196" s="1230">
        <f t="shared" ref="AE196:AE223" si="92">SUMPRODUCT($B$74:$L$74,B196:L196)</f>
        <v>0</v>
      </c>
      <c r="AF196" s="1231">
        <f t="shared" ref="AF196:AF223" si="93">SUMPRODUCT($O$74:$Y$74,O196:Y196)</f>
        <v>0</v>
      </c>
      <c r="AG196" s="1231">
        <f t="shared" ref="AG196:AG223" si="94">SUM(AE196:AF196)</f>
        <v>0</v>
      </c>
      <c r="AH196" s="1172">
        <f t="shared" si="90"/>
        <v>0</v>
      </c>
      <c r="AI196" s="1232">
        <f t="shared" si="91"/>
        <v>0</v>
      </c>
      <c r="AJ196" s="227"/>
      <c r="AK196" s="227"/>
      <c r="AL196" s="227"/>
      <c r="AM196" s="227"/>
    </row>
    <row r="197" spans="1:39" x14ac:dyDescent="0.2">
      <c r="A197" s="330">
        <v>2024</v>
      </c>
      <c r="B197" s="344">
        <v>0</v>
      </c>
      <c r="C197" s="345">
        <v>0</v>
      </c>
      <c r="D197" s="345">
        <v>0</v>
      </c>
      <c r="E197" s="345">
        <v>0</v>
      </c>
      <c r="F197" s="345">
        <v>0</v>
      </c>
      <c r="G197" s="345">
        <v>0</v>
      </c>
      <c r="H197" s="345">
        <v>0</v>
      </c>
      <c r="I197" s="345">
        <v>0</v>
      </c>
      <c r="J197" s="345">
        <v>0</v>
      </c>
      <c r="K197" s="345">
        <v>0</v>
      </c>
      <c r="L197" s="380">
        <v>0</v>
      </c>
      <c r="M197" s="296">
        <f t="shared" si="85"/>
        <v>0</v>
      </c>
      <c r="N197" s="298">
        <f t="shared" si="86"/>
        <v>0</v>
      </c>
      <c r="O197" s="344">
        <v>0</v>
      </c>
      <c r="P197" s="345">
        <v>0</v>
      </c>
      <c r="Q197" s="345">
        <v>0</v>
      </c>
      <c r="R197" s="345">
        <v>0</v>
      </c>
      <c r="S197" s="345">
        <v>0</v>
      </c>
      <c r="T197" s="345">
        <v>0</v>
      </c>
      <c r="U197" s="345">
        <v>0</v>
      </c>
      <c r="V197" s="345">
        <v>0</v>
      </c>
      <c r="W197" s="345">
        <v>0</v>
      </c>
      <c r="X197" s="345">
        <v>0</v>
      </c>
      <c r="Y197" s="380">
        <v>0</v>
      </c>
      <c r="Z197" s="296">
        <f t="shared" si="87"/>
        <v>0</v>
      </c>
      <c r="AA197" s="298">
        <f t="shared" si="88"/>
        <v>0</v>
      </c>
      <c r="AB197" s="948">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49">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6">
        <f t="shared" si="89"/>
        <v>0</v>
      </c>
      <c r="AE197" s="1230">
        <f t="shared" si="92"/>
        <v>0</v>
      </c>
      <c r="AF197" s="1231">
        <f t="shared" si="93"/>
        <v>0</v>
      </c>
      <c r="AG197" s="1231">
        <f t="shared" si="94"/>
        <v>0</v>
      </c>
      <c r="AH197" s="1172">
        <f t="shared" si="90"/>
        <v>0</v>
      </c>
      <c r="AI197" s="1232">
        <f t="shared" si="91"/>
        <v>0</v>
      </c>
      <c r="AJ197" s="227"/>
      <c r="AK197" s="227"/>
      <c r="AL197" s="227"/>
      <c r="AM197" s="227"/>
    </row>
    <row r="198" spans="1:39" ht="13.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85"/>
        <v>0</v>
      </c>
      <c r="N198" s="312">
        <f t="shared" si="86"/>
        <v>0</v>
      </c>
      <c r="O198" s="346">
        <v>0</v>
      </c>
      <c r="P198" s="347">
        <v>0</v>
      </c>
      <c r="Q198" s="347">
        <v>0</v>
      </c>
      <c r="R198" s="347">
        <v>0</v>
      </c>
      <c r="S198" s="347">
        <v>0</v>
      </c>
      <c r="T198" s="347">
        <v>0</v>
      </c>
      <c r="U198" s="347">
        <v>0</v>
      </c>
      <c r="V198" s="347">
        <v>0</v>
      </c>
      <c r="W198" s="347">
        <v>0</v>
      </c>
      <c r="X198" s="347">
        <v>0</v>
      </c>
      <c r="Y198" s="381">
        <v>0</v>
      </c>
      <c r="Z198" s="310">
        <f t="shared" si="87"/>
        <v>0</v>
      </c>
      <c r="AA198" s="312">
        <f t="shared" si="88"/>
        <v>0</v>
      </c>
      <c r="AB198" s="948">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49">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6">
        <f t="shared" si="89"/>
        <v>0</v>
      </c>
      <c r="AE198" s="1230">
        <f t="shared" si="92"/>
        <v>0</v>
      </c>
      <c r="AF198" s="1231">
        <f t="shared" si="93"/>
        <v>0</v>
      </c>
      <c r="AG198" s="1231">
        <f t="shared" si="94"/>
        <v>0</v>
      </c>
      <c r="AH198" s="1172">
        <f t="shared" si="90"/>
        <v>0</v>
      </c>
      <c r="AI198" s="1232">
        <f t="shared" si="91"/>
        <v>0</v>
      </c>
      <c r="AJ198" s="227"/>
      <c r="AK198" s="227"/>
      <c r="AL198" s="227"/>
      <c r="AM198" s="227"/>
    </row>
    <row r="199" spans="1:39" x14ac:dyDescent="0.2">
      <c r="A199" s="329">
        <v>2026</v>
      </c>
      <c r="B199" s="342">
        <v>0</v>
      </c>
      <c r="C199" s="343">
        <v>0</v>
      </c>
      <c r="D199" s="343">
        <v>0</v>
      </c>
      <c r="E199" s="343">
        <v>0</v>
      </c>
      <c r="F199" s="343">
        <v>0</v>
      </c>
      <c r="G199" s="343">
        <v>0</v>
      </c>
      <c r="H199" s="343">
        <v>0</v>
      </c>
      <c r="I199" s="343">
        <v>0</v>
      </c>
      <c r="J199" s="343">
        <v>0</v>
      </c>
      <c r="K199" s="343">
        <v>0</v>
      </c>
      <c r="L199" s="379">
        <v>0</v>
      </c>
      <c r="M199" s="282">
        <f t="shared" si="85"/>
        <v>0</v>
      </c>
      <c r="N199" s="284">
        <f t="shared" si="86"/>
        <v>0</v>
      </c>
      <c r="O199" s="342">
        <v>0</v>
      </c>
      <c r="P199" s="343">
        <v>0</v>
      </c>
      <c r="Q199" s="343">
        <v>0</v>
      </c>
      <c r="R199" s="343">
        <v>0</v>
      </c>
      <c r="S199" s="343">
        <v>0</v>
      </c>
      <c r="T199" s="343">
        <v>0</v>
      </c>
      <c r="U199" s="343">
        <v>0</v>
      </c>
      <c r="V199" s="343">
        <v>0</v>
      </c>
      <c r="W199" s="343">
        <v>0</v>
      </c>
      <c r="X199" s="343">
        <v>0</v>
      </c>
      <c r="Y199" s="379">
        <v>0</v>
      </c>
      <c r="Z199" s="282">
        <f t="shared" si="87"/>
        <v>0</v>
      </c>
      <c r="AA199" s="284">
        <f t="shared" si="88"/>
        <v>0</v>
      </c>
      <c r="AB199" s="948">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49">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6">
        <f t="shared" si="89"/>
        <v>0</v>
      </c>
      <c r="AE199" s="1230">
        <f t="shared" si="92"/>
        <v>0</v>
      </c>
      <c r="AF199" s="1231">
        <f t="shared" si="93"/>
        <v>0</v>
      </c>
      <c r="AG199" s="1231">
        <f t="shared" si="94"/>
        <v>0</v>
      </c>
      <c r="AH199" s="1172">
        <f t="shared" si="90"/>
        <v>0</v>
      </c>
      <c r="AI199" s="1232">
        <f t="shared" si="91"/>
        <v>0</v>
      </c>
      <c r="AJ199" s="227"/>
      <c r="AK199" s="227"/>
      <c r="AL199" s="227"/>
      <c r="AM199" s="227"/>
    </row>
    <row r="200" spans="1:39" x14ac:dyDescent="0.2">
      <c r="A200" s="330">
        <v>2027</v>
      </c>
      <c r="B200" s="344">
        <v>0</v>
      </c>
      <c r="C200" s="345">
        <v>0</v>
      </c>
      <c r="D200" s="345">
        <v>0</v>
      </c>
      <c r="E200" s="345">
        <v>0</v>
      </c>
      <c r="F200" s="345">
        <v>0</v>
      </c>
      <c r="G200" s="345">
        <v>0</v>
      </c>
      <c r="H200" s="345">
        <v>0</v>
      </c>
      <c r="I200" s="345">
        <v>0</v>
      </c>
      <c r="J200" s="345">
        <v>0</v>
      </c>
      <c r="K200" s="345">
        <v>0</v>
      </c>
      <c r="L200" s="380">
        <v>0</v>
      </c>
      <c r="M200" s="296">
        <f t="shared" si="85"/>
        <v>0</v>
      </c>
      <c r="N200" s="298">
        <f t="shared" si="86"/>
        <v>0</v>
      </c>
      <c r="O200" s="344">
        <v>0</v>
      </c>
      <c r="P200" s="345">
        <v>0</v>
      </c>
      <c r="Q200" s="345">
        <v>0</v>
      </c>
      <c r="R200" s="345">
        <v>0</v>
      </c>
      <c r="S200" s="345">
        <v>0</v>
      </c>
      <c r="T200" s="345">
        <v>0</v>
      </c>
      <c r="U200" s="345">
        <v>0</v>
      </c>
      <c r="V200" s="345">
        <v>0</v>
      </c>
      <c r="W200" s="345">
        <v>0</v>
      </c>
      <c r="X200" s="345">
        <v>0</v>
      </c>
      <c r="Y200" s="380">
        <v>0</v>
      </c>
      <c r="Z200" s="296">
        <f t="shared" si="87"/>
        <v>0</v>
      </c>
      <c r="AA200" s="298">
        <f t="shared" si="88"/>
        <v>0</v>
      </c>
      <c r="AB200" s="948">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49">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6">
        <f t="shared" si="89"/>
        <v>0</v>
      </c>
      <c r="AE200" s="1230">
        <f t="shared" si="92"/>
        <v>0</v>
      </c>
      <c r="AF200" s="1231">
        <f t="shared" si="93"/>
        <v>0</v>
      </c>
      <c r="AG200" s="1231">
        <f t="shared" si="94"/>
        <v>0</v>
      </c>
      <c r="AH200" s="1172">
        <f t="shared" si="90"/>
        <v>0</v>
      </c>
      <c r="AI200" s="1232">
        <f t="shared" si="91"/>
        <v>0</v>
      </c>
      <c r="AJ200" s="227"/>
      <c r="AK200" s="227"/>
      <c r="AL200" s="227"/>
      <c r="AM200" s="227"/>
    </row>
    <row r="201" spans="1:39" x14ac:dyDescent="0.2">
      <c r="A201" s="330">
        <v>2028</v>
      </c>
      <c r="B201" s="344">
        <v>0</v>
      </c>
      <c r="C201" s="345">
        <v>0</v>
      </c>
      <c r="D201" s="345">
        <v>0</v>
      </c>
      <c r="E201" s="345">
        <v>0</v>
      </c>
      <c r="F201" s="345">
        <v>0</v>
      </c>
      <c r="G201" s="345">
        <v>0</v>
      </c>
      <c r="H201" s="345">
        <v>0</v>
      </c>
      <c r="I201" s="345">
        <v>0</v>
      </c>
      <c r="J201" s="345">
        <v>0</v>
      </c>
      <c r="K201" s="345">
        <v>0</v>
      </c>
      <c r="L201" s="380">
        <v>0</v>
      </c>
      <c r="M201" s="296">
        <f t="shared" si="85"/>
        <v>0</v>
      </c>
      <c r="N201" s="298">
        <f t="shared" si="86"/>
        <v>0</v>
      </c>
      <c r="O201" s="344">
        <v>0</v>
      </c>
      <c r="P201" s="345">
        <v>0</v>
      </c>
      <c r="Q201" s="345">
        <v>0</v>
      </c>
      <c r="R201" s="345">
        <v>0</v>
      </c>
      <c r="S201" s="345">
        <v>0</v>
      </c>
      <c r="T201" s="345">
        <v>0</v>
      </c>
      <c r="U201" s="345">
        <v>0</v>
      </c>
      <c r="V201" s="345">
        <v>0</v>
      </c>
      <c r="W201" s="345">
        <v>0</v>
      </c>
      <c r="X201" s="345">
        <v>0</v>
      </c>
      <c r="Y201" s="380">
        <v>0</v>
      </c>
      <c r="Z201" s="296">
        <f t="shared" si="87"/>
        <v>0</v>
      </c>
      <c r="AA201" s="298">
        <f t="shared" si="88"/>
        <v>0</v>
      </c>
      <c r="AB201" s="948">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49">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6">
        <f t="shared" si="89"/>
        <v>0</v>
      </c>
      <c r="AE201" s="1230">
        <f t="shared" si="92"/>
        <v>0</v>
      </c>
      <c r="AF201" s="1231">
        <f t="shared" si="93"/>
        <v>0</v>
      </c>
      <c r="AG201" s="1231">
        <f t="shared" si="94"/>
        <v>0</v>
      </c>
      <c r="AH201" s="1172">
        <f t="shared" si="90"/>
        <v>0</v>
      </c>
      <c r="AI201" s="1232">
        <f t="shared" si="91"/>
        <v>0</v>
      </c>
      <c r="AJ201" s="227"/>
      <c r="AK201" s="227"/>
      <c r="AL201" s="227"/>
      <c r="AM201" s="227"/>
    </row>
    <row r="202" spans="1:39" x14ac:dyDescent="0.2">
      <c r="A202" s="330">
        <v>2029</v>
      </c>
      <c r="B202" s="344">
        <v>0</v>
      </c>
      <c r="C202" s="345">
        <v>0</v>
      </c>
      <c r="D202" s="345">
        <v>0</v>
      </c>
      <c r="E202" s="345">
        <v>0</v>
      </c>
      <c r="F202" s="345">
        <v>0</v>
      </c>
      <c r="G202" s="345">
        <v>0</v>
      </c>
      <c r="H202" s="345">
        <v>0</v>
      </c>
      <c r="I202" s="345">
        <v>0</v>
      </c>
      <c r="J202" s="345">
        <v>0</v>
      </c>
      <c r="K202" s="345">
        <v>0</v>
      </c>
      <c r="L202" s="380">
        <v>0</v>
      </c>
      <c r="M202" s="296">
        <f t="shared" si="85"/>
        <v>0</v>
      </c>
      <c r="N202" s="298">
        <f t="shared" si="86"/>
        <v>0</v>
      </c>
      <c r="O202" s="344">
        <v>0</v>
      </c>
      <c r="P202" s="345">
        <v>0</v>
      </c>
      <c r="Q202" s="345">
        <v>0</v>
      </c>
      <c r="R202" s="345">
        <v>0</v>
      </c>
      <c r="S202" s="345">
        <v>0</v>
      </c>
      <c r="T202" s="345">
        <v>0</v>
      </c>
      <c r="U202" s="345">
        <v>0</v>
      </c>
      <c r="V202" s="345">
        <v>0</v>
      </c>
      <c r="W202" s="345">
        <v>0</v>
      </c>
      <c r="X202" s="345">
        <v>0</v>
      </c>
      <c r="Y202" s="380">
        <v>0</v>
      </c>
      <c r="Z202" s="296">
        <f t="shared" si="87"/>
        <v>0</v>
      </c>
      <c r="AA202" s="298">
        <f t="shared" si="88"/>
        <v>0</v>
      </c>
      <c r="AB202" s="948">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49">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6">
        <f t="shared" si="89"/>
        <v>0</v>
      </c>
      <c r="AE202" s="1230">
        <f t="shared" si="92"/>
        <v>0</v>
      </c>
      <c r="AF202" s="1231">
        <f t="shared" si="93"/>
        <v>0</v>
      </c>
      <c r="AG202" s="1231">
        <f t="shared" si="94"/>
        <v>0</v>
      </c>
      <c r="AH202" s="1172">
        <f t="shared" si="90"/>
        <v>0</v>
      </c>
      <c r="AI202" s="1232">
        <f t="shared" si="91"/>
        <v>0</v>
      </c>
      <c r="AJ202" s="227"/>
      <c r="AK202" s="227"/>
      <c r="AL202" s="227"/>
      <c r="AM202" s="227"/>
    </row>
    <row r="203" spans="1:39" ht="13.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85"/>
        <v>0</v>
      </c>
      <c r="N203" s="312">
        <f t="shared" si="86"/>
        <v>0</v>
      </c>
      <c r="O203" s="346">
        <v>0</v>
      </c>
      <c r="P203" s="347">
        <v>0</v>
      </c>
      <c r="Q203" s="347">
        <v>0</v>
      </c>
      <c r="R203" s="347">
        <v>0</v>
      </c>
      <c r="S203" s="347">
        <v>0</v>
      </c>
      <c r="T203" s="347">
        <v>0</v>
      </c>
      <c r="U203" s="347">
        <v>0</v>
      </c>
      <c r="V203" s="347">
        <v>0</v>
      </c>
      <c r="W203" s="347">
        <v>0</v>
      </c>
      <c r="X203" s="347">
        <v>0</v>
      </c>
      <c r="Y203" s="381">
        <v>0</v>
      </c>
      <c r="Z203" s="310">
        <f t="shared" si="87"/>
        <v>0</v>
      </c>
      <c r="AA203" s="312">
        <f t="shared" si="88"/>
        <v>0</v>
      </c>
      <c r="AB203" s="948">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49">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6">
        <f t="shared" si="89"/>
        <v>0</v>
      </c>
      <c r="AE203" s="1230">
        <f t="shared" si="92"/>
        <v>0</v>
      </c>
      <c r="AF203" s="1231">
        <f t="shared" si="93"/>
        <v>0</v>
      </c>
      <c r="AG203" s="1231">
        <f t="shared" si="94"/>
        <v>0</v>
      </c>
      <c r="AH203" s="1172">
        <f t="shared" si="90"/>
        <v>0</v>
      </c>
      <c r="AI203" s="1232">
        <f t="shared" si="91"/>
        <v>0</v>
      </c>
      <c r="AJ203" s="227"/>
      <c r="AK203" s="227"/>
      <c r="AL203" s="227"/>
      <c r="AM203" s="227"/>
    </row>
    <row r="204" spans="1:39" x14ac:dyDescent="0.2">
      <c r="A204" s="329">
        <v>2031</v>
      </c>
      <c r="B204" s="342">
        <v>0</v>
      </c>
      <c r="C204" s="343">
        <v>0</v>
      </c>
      <c r="D204" s="343">
        <v>0</v>
      </c>
      <c r="E204" s="343">
        <v>0</v>
      </c>
      <c r="F204" s="343">
        <v>0</v>
      </c>
      <c r="G204" s="343">
        <v>0</v>
      </c>
      <c r="H204" s="343">
        <v>0</v>
      </c>
      <c r="I204" s="343">
        <v>0</v>
      </c>
      <c r="J204" s="343">
        <v>0</v>
      </c>
      <c r="K204" s="343">
        <v>0</v>
      </c>
      <c r="L204" s="379">
        <v>0</v>
      </c>
      <c r="M204" s="282">
        <f t="shared" si="85"/>
        <v>0</v>
      </c>
      <c r="N204" s="284">
        <f t="shared" si="86"/>
        <v>0</v>
      </c>
      <c r="O204" s="342">
        <v>0</v>
      </c>
      <c r="P204" s="343">
        <v>0</v>
      </c>
      <c r="Q204" s="343">
        <v>0</v>
      </c>
      <c r="R204" s="343">
        <v>0</v>
      </c>
      <c r="S204" s="343">
        <v>0</v>
      </c>
      <c r="T204" s="343">
        <v>0</v>
      </c>
      <c r="U204" s="343">
        <v>0</v>
      </c>
      <c r="V204" s="343">
        <v>0</v>
      </c>
      <c r="W204" s="343">
        <v>0</v>
      </c>
      <c r="X204" s="343">
        <v>0</v>
      </c>
      <c r="Y204" s="379">
        <v>0</v>
      </c>
      <c r="Z204" s="282">
        <f t="shared" si="87"/>
        <v>0</v>
      </c>
      <c r="AA204" s="284">
        <f t="shared" si="88"/>
        <v>0</v>
      </c>
      <c r="AB204" s="948">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49">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6">
        <f t="shared" si="89"/>
        <v>0</v>
      </c>
      <c r="AE204" s="1230">
        <f t="shared" si="92"/>
        <v>0</v>
      </c>
      <c r="AF204" s="1231">
        <f t="shared" si="93"/>
        <v>0</v>
      </c>
      <c r="AG204" s="1231">
        <f t="shared" si="94"/>
        <v>0</v>
      </c>
      <c r="AH204" s="1172">
        <f t="shared" si="90"/>
        <v>0</v>
      </c>
      <c r="AI204" s="1232">
        <f t="shared" si="91"/>
        <v>0</v>
      </c>
      <c r="AJ204" s="227"/>
      <c r="AK204" s="227"/>
      <c r="AL204" s="227"/>
      <c r="AM204" s="227"/>
    </row>
    <row r="205" spans="1:39" x14ac:dyDescent="0.2">
      <c r="A205" s="330">
        <v>2032</v>
      </c>
      <c r="B205" s="344">
        <v>0</v>
      </c>
      <c r="C205" s="345">
        <v>0</v>
      </c>
      <c r="D205" s="345">
        <v>0</v>
      </c>
      <c r="E205" s="345">
        <v>0</v>
      </c>
      <c r="F205" s="345">
        <v>0</v>
      </c>
      <c r="G205" s="345">
        <v>0</v>
      </c>
      <c r="H205" s="345">
        <v>0</v>
      </c>
      <c r="I205" s="345">
        <v>0</v>
      </c>
      <c r="J205" s="345">
        <v>0</v>
      </c>
      <c r="K205" s="345">
        <v>0</v>
      </c>
      <c r="L205" s="380">
        <v>0</v>
      </c>
      <c r="M205" s="296">
        <f t="shared" si="85"/>
        <v>0</v>
      </c>
      <c r="N205" s="298">
        <f t="shared" si="86"/>
        <v>0</v>
      </c>
      <c r="O205" s="344">
        <v>0</v>
      </c>
      <c r="P205" s="345">
        <v>0</v>
      </c>
      <c r="Q205" s="345">
        <v>0</v>
      </c>
      <c r="R205" s="345">
        <v>0</v>
      </c>
      <c r="S205" s="345">
        <v>0</v>
      </c>
      <c r="T205" s="345">
        <v>0</v>
      </c>
      <c r="U205" s="345">
        <v>0</v>
      </c>
      <c r="V205" s="345">
        <v>0</v>
      </c>
      <c r="W205" s="345">
        <v>0</v>
      </c>
      <c r="X205" s="345">
        <v>0</v>
      </c>
      <c r="Y205" s="380">
        <v>0</v>
      </c>
      <c r="Z205" s="296">
        <f t="shared" si="87"/>
        <v>0</v>
      </c>
      <c r="AA205" s="298">
        <f t="shared" si="88"/>
        <v>0</v>
      </c>
      <c r="AB205" s="948">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49">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6">
        <f t="shared" si="89"/>
        <v>0</v>
      </c>
      <c r="AE205" s="1230">
        <f t="shared" si="92"/>
        <v>0</v>
      </c>
      <c r="AF205" s="1231">
        <f t="shared" si="93"/>
        <v>0</v>
      </c>
      <c r="AG205" s="1231">
        <f t="shared" si="94"/>
        <v>0</v>
      </c>
      <c r="AH205" s="1172">
        <f t="shared" si="90"/>
        <v>0</v>
      </c>
      <c r="AI205" s="1232">
        <f t="shared" si="91"/>
        <v>0</v>
      </c>
      <c r="AJ205" s="227"/>
      <c r="AK205" s="227"/>
      <c r="AL205" s="227"/>
      <c r="AM205" s="227"/>
    </row>
    <row r="206" spans="1:39" x14ac:dyDescent="0.2">
      <c r="A206" s="330">
        <v>2033</v>
      </c>
      <c r="B206" s="344">
        <v>0</v>
      </c>
      <c r="C206" s="345">
        <v>0</v>
      </c>
      <c r="D206" s="345">
        <v>0</v>
      </c>
      <c r="E206" s="345">
        <v>0</v>
      </c>
      <c r="F206" s="345">
        <v>0</v>
      </c>
      <c r="G206" s="345">
        <v>0</v>
      </c>
      <c r="H206" s="345">
        <v>0</v>
      </c>
      <c r="I206" s="345">
        <v>0</v>
      </c>
      <c r="J206" s="345">
        <v>0</v>
      </c>
      <c r="K206" s="345">
        <v>0</v>
      </c>
      <c r="L206" s="380">
        <v>0</v>
      </c>
      <c r="M206" s="296">
        <f t="shared" si="85"/>
        <v>0</v>
      </c>
      <c r="N206" s="298">
        <f t="shared" si="86"/>
        <v>0</v>
      </c>
      <c r="O206" s="344">
        <v>0</v>
      </c>
      <c r="P206" s="345">
        <v>0</v>
      </c>
      <c r="Q206" s="345">
        <v>0</v>
      </c>
      <c r="R206" s="345">
        <v>0</v>
      </c>
      <c r="S206" s="345">
        <v>0</v>
      </c>
      <c r="T206" s="345">
        <v>0</v>
      </c>
      <c r="U206" s="345">
        <v>0</v>
      </c>
      <c r="V206" s="345">
        <v>0</v>
      </c>
      <c r="W206" s="345">
        <v>0</v>
      </c>
      <c r="X206" s="345">
        <v>0</v>
      </c>
      <c r="Y206" s="380">
        <v>0</v>
      </c>
      <c r="Z206" s="296">
        <f t="shared" si="87"/>
        <v>0</v>
      </c>
      <c r="AA206" s="298">
        <f t="shared" si="88"/>
        <v>0</v>
      </c>
      <c r="AB206" s="948">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49">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6">
        <f>AB206*AH206+AC206*AI206</f>
        <v>0</v>
      </c>
      <c r="AE206" s="1230">
        <f t="shared" si="92"/>
        <v>0</v>
      </c>
      <c r="AF206" s="1231">
        <f t="shared" si="93"/>
        <v>0</v>
      </c>
      <c r="AG206" s="1231">
        <f t="shared" si="94"/>
        <v>0</v>
      </c>
      <c r="AH206" s="1172">
        <f t="shared" si="90"/>
        <v>0</v>
      </c>
      <c r="AI206" s="1232">
        <f t="shared" si="91"/>
        <v>0</v>
      </c>
      <c r="AJ206" s="227"/>
      <c r="AK206" s="227"/>
      <c r="AL206" s="227"/>
      <c r="AM206" s="227"/>
    </row>
    <row r="207" spans="1:39" x14ac:dyDescent="0.2">
      <c r="A207" s="330">
        <v>2034</v>
      </c>
      <c r="B207" s="344">
        <v>0</v>
      </c>
      <c r="C207" s="345">
        <v>0</v>
      </c>
      <c r="D207" s="345">
        <v>0</v>
      </c>
      <c r="E207" s="345">
        <v>0</v>
      </c>
      <c r="F207" s="345">
        <v>0</v>
      </c>
      <c r="G207" s="345">
        <v>0</v>
      </c>
      <c r="H207" s="345">
        <v>0</v>
      </c>
      <c r="I207" s="345">
        <v>0</v>
      </c>
      <c r="J207" s="345">
        <v>0</v>
      </c>
      <c r="K207" s="345">
        <v>0</v>
      </c>
      <c r="L207" s="380">
        <v>0</v>
      </c>
      <c r="M207" s="296">
        <f t="shared" si="85"/>
        <v>0</v>
      </c>
      <c r="N207" s="298">
        <f t="shared" si="86"/>
        <v>0</v>
      </c>
      <c r="O207" s="344">
        <v>0</v>
      </c>
      <c r="P207" s="345">
        <v>0</v>
      </c>
      <c r="Q207" s="345">
        <v>0</v>
      </c>
      <c r="R207" s="345">
        <v>0</v>
      </c>
      <c r="S207" s="345">
        <v>0</v>
      </c>
      <c r="T207" s="345">
        <v>0</v>
      </c>
      <c r="U207" s="345">
        <v>0</v>
      </c>
      <c r="V207" s="345">
        <v>0</v>
      </c>
      <c r="W207" s="345">
        <v>0</v>
      </c>
      <c r="X207" s="345">
        <v>0</v>
      </c>
      <c r="Y207" s="380">
        <v>0</v>
      </c>
      <c r="Z207" s="296">
        <f t="shared" si="87"/>
        <v>0</v>
      </c>
      <c r="AA207" s="298">
        <f t="shared" si="88"/>
        <v>0</v>
      </c>
      <c r="AB207" s="948">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49">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6">
        <f t="shared" ref="AD207:AD223" si="95">AB207*AH207+AC207*AI207</f>
        <v>0</v>
      </c>
      <c r="AE207" s="1230">
        <f t="shared" si="92"/>
        <v>0</v>
      </c>
      <c r="AF207" s="1231">
        <f t="shared" si="93"/>
        <v>0</v>
      </c>
      <c r="AG207" s="1231">
        <f t="shared" si="94"/>
        <v>0</v>
      </c>
      <c r="AH207" s="1172">
        <f t="shared" si="90"/>
        <v>0</v>
      </c>
      <c r="AI207" s="1232">
        <f t="shared" si="91"/>
        <v>0</v>
      </c>
      <c r="AJ207" s="227"/>
      <c r="AK207" s="227"/>
      <c r="AL207" s="227"/>
      <c r="AM207" s="227"/>
    </row>
    <row r="208" spans="1:39" ht="13.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85"/>
        <v>0</v>
      </c>
      <c r="N208" s="312">
        <f t="shared" si="86"/>
        <v>0</v>
      </c>
      <c r="O208" s="346">
        <v>0</v>
      </c>
      <c r="P208" s="347">
        <v>0</v>
      </c>
      <c r="Q208" s="347">
        <v>0</v>
      </c>
      <c r="R208" s="347">
        <v>0</v>
      </c>
      <c r="S208" s="347">
        <v>0</v>
      </c>
      <c r="T208" s="347">
        <v>0</v>
      </c>
      <c r="U208" s="347">
        <v>0</v>
      </c>
      <c r="V208" s="347">
        <v>0</v>
      </c>
      <c r="W208" s="347">
        <v>0</v>
      </c>
      <c r="X208" s="347">
        <v>0</v>
      </c>
      <c r="Y208" s="381">
        <v>0</v>
      </c>
      <c r="Z208" s="310">
        <f t="shared" si="87"/>
        <v>0</v>
      </c>
      <c r="AA208" s="312">
        <f t="shared" si="88"/>
        <v>0</v>
      </c>
      <c r="AB208" s="948">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49">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6">
        <f t="shared" si="95"/>
        <v>0</v>
      </c>
      <c r="AE208" s="1230">
        <f t="shared" si="92"/>
        <v>0</v>
      </c>
      <c r="AF208" s="1231">
        <f t="shared" si="93"/>
        <v>0</v>
      </c>
      <c r="AG208" s="1231">
        <f t="shared" si="94"/>
        <v>0</v>
      </c>
      <c r="AH208" s="1172">
        <f t="shared" si="90"/>
        <v>0</v>
      </c>
      <c r="AI208" s="1232">
        <f t="shared" si="91"/>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85"/>
        <v>0</v>
      </c>
      <c r="N209" s="284">
        <f t="shared" si="86"/>
        <v>0</v>
      </c>
      <c r="O209" s="342">
        <v>0</v>
      </c>
      <c r="P209" s="343">
        <v>0</v>
      </c>
      <c r="Q209" s="343">
        <v>0</v>
      </c>
      <c r="R209" s="343">
        <v>0</v>
      </c>
      <c r="S209" s="343">
        <v>0</v>
      </c>
      <c r="T209" s="343">
        <v>0</v>
      </c>
      <c r="U209" s="343">
        <v>0</v>
      </c>
      <c r="V209" s="343">
        <v>0</v>
      </c>
      <c r="W209" s="343">
        <v>0</v>
      </c>
      <c r="X209" s="343">
        <v>0</v>
      </c>
      <c r="Y209" s="379">
        <v>0</v>
      </c>
      <c r="Z209" s="282">
        <f t="shared" si="87"/>
        <v>0</v>
      </c>
      <c r="AA209" s="284">
        <f t="shared" si="88"/>
        <v>0</v>
      </c>
      <c r="AB209" s="948">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49">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6">
        <f t="shared" si="95"/>
        <v>0</v>
      </c>
      <c r="AE209" s="1230">
        <f t="shared" si="92"/>
        <v>0</v>
      </c>
      <c r="AF209" s="1231">
        <f t="shared" si="93"/>
        <v>0</v>
      </c>
      <c r="AG209" s="1231">
        <f t="shared" si="94"/>
        <v>0</v>
      </c>
      <c r="AH209" s="1172">
        <f t="shared" si="90"/>
        <v>0</v>
      </c>
      <c r="AI209" s="1232">
        <f t="shared" si="91"/>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85"/>
        <v>0</v>
      </c>
      <c r="N210" s="298">
        <f t="shared" si="86"/>
        <v>0</v>
      </c>
      <c r="O210" s="344">
        <v>0</v>
      </c>
      <c r="P210" s="345">
        <v>0</v>
      </c>
      <c r="Q210" s="345">
        <v>0</v>
      </c>
      <c r="R210" s="345">
        <v>0</v>
      </c>
      <c r="S210" s="345">
        <v>0</v>
      </c>
      <c r="T210" s="345">
        <v>0</v>
      </c>
      <c r="U210" s="345">
        <v>0</v>
      </c>
      <c r="V210" s="345">
        <v>0</v>
      </c>
      <c r="W210" s="345">
        <v>0</v>
      </c>
      <c r="X210" s="345">
        <v>0</v>
      </c>
      <c r="Y210" s="380">
        <v>0</v>
      </c>
      <c r="Z210" s="296">
        <f t="shared" si="87"/>
        <v>0</v>
      </c>
      <c r="AA210" s="298">
        <f t="shared" si="88"/>
        <v>0</v>
      </c>
      <c r="AB210" s="948">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49">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6">
        <f t="shared" si="95"/>
        <v>0</v>
      </c>
      <c r="AE210" s="1230">
        <f t="shared" si="92"/>
        <v>0</v>
      </c>
      <c r="AF210" s="1231">
        <f t="shared" si="93"/>
        <v>0</v>
      </c>
      <c r="AG210" s="1231">
        <f t="shared" si="94"/>
        <v>0</v>
      </c>
      <c r="AH210" s="1172">
        <f t="shared" si="90"/>
        <v>0</v>
      </c>
      <c r="AI210" s="1232">
        <f t="shared" si="91"/>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85"/>
        <v>0</v>
      </c>
      <c r="N211" s="298">
        <f t="shared" si="86"/>
        <v>0</v>
      </c>
      <c r="O211" s="344">
        <v>0</v>
      </c>
      <c r="P211" s="345">
        <v>0</v>
      </c>
      <c r="Q211" s="345">
        <v>0</v>
      </c>
      <c r="R211" s="345">
        <v>0</v>
      </c>
      <c r="S211" s="345">
        <v>0</v>
      </c>
      <c r="T211" s="345">
        <v>0</v>
      </c>
      <c r="U211" s="345">
        <v>0</v>
      </c>
      <c r="V211" s="345">
        <v>0</v>
      </c>
      <c r="W211" s="345">
        <v>0</v>
      </c>
      <c r="X211" s="345">
        <v>0</v>
      </c>
      <c r="Y211" s="380">
        <v>0</v>
      </c>
      <c r="Z211" s="296">
        <f t="shared" si="87"/>
        <v>0</v>
      </c>
      <c r="AA211" s="298">
        <f t="shared" si="88"/>
        <v>0</v>
      </c>
      <c r="AB211" s="948">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49">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6">
        <f t="shared" si="95"/>
        <v>0</v>
      </c>
      <c r="AE211" s="1230">
        <f t="shared" si="92"/>
        <v>0</v>
      </c>
      <c r="AF211" s="1231">
        <f t="shared" si="93"/>
        <v>0</v>
      </c>
      <c r="AG211" s="1231">
        <f t="shared" si="94"/>
        <v>0</v>
      </c>
      <c r="AH211" s="1172">
        <f t="shared" si="90"/>
        <v>0</v>
      </c>
      <c r="AI211" s="1232">
        <f t="shared" si="91"/>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85"/>
        <v>0</v>
      </c>
      <c r="N212" s="298">
        <f t="shared" si="86"/>
        <v>0</v>
      </c>
      <c r="O212" s="344">
        <v>0</v>
      </c>
      <c r="P212" s="345">
        <v>0</v>
      </c>
      <c r="Q212" s="345">
        <v>0</v>
      </c>
      <c r="R212" s="345">
        <v>0</v>
      </c>
      <c r="S212" s="345">
        <v>0</v>
      </c>
      <c r="T212" s="345">
        <v>0</v>
      </c>
      <c r="U212" s="345">
        <v>0</v>
      </c>
      <c r="V212" s="345">
        <v>0</v>
      </c>
      <c r="W212" s="345">
        <v>0</v>
      </c>
      <c r="X212" s="345">
        <v>0</v>
      </c>
      <c r="Y212" s="380">
        <v>0</v>
      </c>
      <c r="Z212" s="296">
        <f t="shared" si="87"/>
        <v>0</v>
      </c>
      <c r="AA212" s="298">
        <f t="shared" si="88"/>
        <v>0</v>
      </c>
      <c r="AB212" s="948">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49">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6">
        <f t="shared" si="95"/>
        <v>0</v>
      </c>
      <c r="AE212" s="1230">
        <f t="shared" si="92"/>
        <v>0</v>
      </c>
      <c r="AF212" s="1231">
        <f t="shared" si="93"/>
        <v>0</v>
      </c>
      <c r="AG212" s="1231">
        <f t="shared" si="94"/>
        <v>0</v>
      </c>
      <c r="AH212" s="1172">
        <f t="shared" si="90"/>
        <v>0</v>
      </c>
      <c r="AI212" s="1232">
        <f t="shared" si="91"/>
        <v>0</v>
      </c>
      <c r="AJ212" s="227"/>
      <c r="AK212" s="227"/>
      <c r="AL212" s="227"/>
      <c r="AM212" s="227"/>
    </row>
    <row r="213" spans="1:39" ht="13.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85"/>
        <v>0</v>
      </c>
      <c r="N213" s="312">
        <f t="shared" si="86"/>
        <v>0</v>
      </c>
      <c r="O213" s="346">
        <v>0</v>
      </c>
      <c r="P213" s="347">
        <v>0</v>
      </c>
      <c r="Q213" s="347">
        <v>0</v>
      </c>
      <c r="R213" s="347">
        <v>0</v>
      </c>
      <c r="S213" s="347">
        <v>0</v>
      </c>
      <c r="T213" s="347">
        <v>0</v>
      </c>
      <c r="U213" s="347">
        <v>0</v>
      </c>
      <c r="V213" s="347">
        <v>0</v>
      </c>
      <c r="W213" s="347">
        <v>0</v>
      </c>
      <c r="X213" s="347">
        <v>0</v>
      </c>
      <c r="Y213" s="381">
        <v>0</v>
      </c>
      <c r="Z213" s="310">
        <f t="shared" si="87"/>
        <v>0</v>
      </c>
      <c r="AA213" s="312">
        <f t="shared" si="88"/>
        <v>0</v>
      </c>
      <c r="AB213" s="948">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49">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6">
        <f t="shared" si="95"/>
        <v>0</v>
      </c>
      <c r="AE213" s="1230">
        <f t="shared" si="92"/>
        <v>0</v>
      </c>
      <c r="AF213" s="1231">
        <f t="shared" si="93"/>
        <v>0</v>
      </c>
      <c r="AG213" s="1231">
        <f t="shared" si="94"/>
        <v>0</v>
      </c>
      <c r="AH213" s="1172">
        <f t="shared" si="90"/>
        <v>0</v>
      </c>
      <c r="AI213" s="1232">
        <f t="shared" si="91"/>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85"/>
        <v>0</v>
      </c>
      <c r="N214" s="284">
        <f t="shared" si="86"/>
        <v>0</v>
      </c>
      <c r="O214" s="342">
        <v>0</v>
      </c>
      <c r="P214" s="343">
        <v>0</v>
      </c>
      <c r="Q214" s="343">
        <v>0</v>
      </c>
      <c r="R214" s="343">
        <v>0</v>
      </c>
      <c r="S214" s="343">
        <v>0</v>
      </c>
      <c r="T214" s="343">
        <v>0</v>
      </c>
      <c r="U214" s="343">
        <v>0</v>
      </c>
      <c r="V214" s="343">
        <v>0</v>
      </c>
      <c r="W214" s="343">
        <v>0</v>
      </c>
      <c r="X214" s="343">
        <v>0</v>
      </c>
      <c r="Y214" s="379">
        <v>0</v>
      </c>
      <c r="Z214" s="282">
        <f t="shared" si="87"/>
        <v>0</v>
      </c>
      <c r="AA214" s="284">
        <f t="shared" si="88"/>
        <v>0</v>
      </c>
      <c r="AB214" s="948">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49">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6">
        <f t="shared" si="95"/>
        <v>0</v>
      </c>
      <c r="AE214" s="1230">
        <f t="shared" si="92"/>
        <v>0</v>
      </c>
      <c r="AF214" s="1231">
        <f t="shared" si="93"/>
        <v>0</v>
      </c>
      <c r="AG214" s="1231">
        <f t="shared" si="94"/>
        <v>0</v>
      </c>
      <c r="AH214" s="1172">
        <f t="shared" si="90"/>
        <v>0</v>
      </c>
      <c r="AI214" s="1232">
        <f t="shared" si="91"/>
        <v>0</v>
      </c>
      <c r="AJ214" s="227"/>
      <c r="AK214" s="227"/>
      <c r="AL214" s="227"/>
      <c r="AM214" s="227"/>
    </row>
    <row r="215" spans="1:39" x14ac:dyDescent="0.2">
      <c r="A215" s="330">
        <v>2042</v>
      </c>
      <c r="B215" s="344">
        <v>0</v>
      </c>
      <c r="C215" s="345">
        <v>0</v>
      </c>
      <c r="D215" s="345">
        <v>0</v>
      </c>
      <c r="E215" s="345">
        <v>5.1180985910099886E-5</v>
      </c>
      <c r="F215" s="345">
        <v>0</v>
      </c>
      <c r="G215" s="345">
        <v>0</v>
      </c>
      <c r="H215" s="345">
        <v>0</v>
      </c>
      <c r="I215" s="345">
        <v>0</v>
      </c>
      <c r="J215" s="345">
        <v>0</v>
      </c>
      <c r="K215" s="345">
        <v>0</v>
      </c>
      <c r="L215" s="380">
        <v>0</v>
      </c>
      <c r="M215" s="296">
        <f t="shared" si="85"/>
        <v>2.3213779885122416E-6</v>
      </c>
      <c r="N215" s="298">
        <f t="shared" si="86"/>
        <v>8.9532101904169153E-7</v>
      </c>
      <c r="O215" s="344">
        <v>0</v>
      </c>
      <c r="P215" s="345">
        <v>0</v>
      </c>
      <c r="Q215" s="345">
        <v>0</v>
      </c>
      <c r="R215" s="345">
        <v>3.1919519203225645E-4</v>
      </c>
      <c r="S215" s="345">
        <v>0</v>
      </c>
      <c r="T215" s="345">
        <v>0</v>
      </c>
      <c r="U215" s="345">
        <v>0</v>
      </c>
      <c r="V215" s="345">
        <v>0</v>
      </c>
      <c r="W215" s="345">
        <v>0</v>
      </c>
      <c r="X215" s="345">
        <v>0</v>
      </c>
      <c r="Y215" s="380">
        <v>0</v>
      </c>
      <c r="Z215" s="296">
        <f t="shared" si="87"/>
        <v>1.9101564852138579E-5</v>
      </c>
      <c r="AA215" s="298">
        <f t="shared" si="88"/>
        <v>7.2711059457817263E-6</v>
      </c>
      <c r="AB215" s="948">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49">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6">
        <f t="shared" si="95"/>
        <v>0</v>
      </c>
      <c r="AE215" s="1230">
        <f t="shared" si="92"/>
        <v>2.3213779885122416E-6</v>
      </c>
      <c r="AF215" s="1231">
        <f t="shared" si="93"/>
        <v>1.9101564852138579E-5</v>
      </c>
      <c r="AG215" s="1231">
        <f t="shared" si="94"/>
        <v>2.1422942840650821E-5</v>
      </c>
      <c r="AH215" s="1172">
        <f t="shared" si="90"/>
        <v>0.10835943529230455</v>
      </c>
      <c r="AI215" s="1232">
        <f t="shared" si="91"/>
        <v>0.89164056470769548</v>
      </c>
      <c r="AJ215" s="227"/>
      <c r="AK215" s="227"/>
      <c r="AL215" s="227"/>
      <c r="AM215" s="227"/>
    </row>
    <row r="216" spans="1:39" x14ac:dyDescent="0.2">
      <c r="A216" s="330">
        <v>2043</v>
      </c>
      <c r="B216" s="344">
        <v>0</v>
      </c>
      <c r="C216" s="345">
        <v>0</v>
      </c>
      <c r="D216" s="345">
        <v>2.9231315393767284E-5</v>
      </c>
      <c r="E216" s="345">
        <v>4.4211910651402427E-3</v>
      </c>
      <c r="F216" s="345">
        <v>0</v>
      </c>
      <c r="G216" s="345">
        <v>0</v>
      </c>
      <c r="H216" s="345">
        <v>0</v>
      </c>
      <c r="I216" s="345">
        <v>0</v>
      </c>
      <c r="J216" s="345">
        <v>0</v>
      </c>
      <c r="K216" s="345">
        <v>0</v>
      </c>
      <c r="L216" s="380">
        <v>0</v>
      </c>
      <c r="M216" s="296">
        <f t="shared" si="85"/>
        <v>2.031310899042164E-4</v>
      </c>
      <c r="N216" s="298">
        <f t="shared" si="86"/>
        <v>7.8827135381501239E-5</v>
      </c>
      <c r="O216" s="344">
        <v>0</v>
      </c>
      <c r="P216" s="345">
        <v>0</v>
      </c>
      <c r="Q216" s="345">
        <v>2.4784915115277163E-4</v>
      </c>
      <c r="R216" s="345">
        <v>8.8017373998174626E-3</v>
      </c>
      <c r="S216" s="345">
        <v>0</v>
      </c>
      <c r="T216" s="345">
        <v>0</v>
      </c>
      <c r="U216" s="345">
        <v>0</v>
      </c>
      <c r="V216" s="345">
        <v>0</v>
      </c>
      <c r="W216" s="345">
        <v>0</v>
      </c>
      <c r="X216" s="345">
        <v>0</v>
      </c>
      <c r="Y216" s="380">
        <v>0</v>
      </c>
      <c r="Z216" s="296">
        <f t="shared" si="87"/>
        <v>5.4750016827369785E-4</v>
      </c>
      <c r="AA216" s="298">
        <f t="shared" si="88"/>
        <v>2.1204201317749652E-4</v>
      </c>
      <c r="AB216" s="948">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49">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6">
        <f t="shared" si="95"/>
        <v>0</v>
      </c>
      <c r="AE216" s="1230">
        <f t="shared" si="92"/>
        <v>2.031310899042164E-4</v>
      </c>
      <c r="AF216" s="1231">
        <f t="shared" si="93"/>
        <v>5.4750016827369785E-4</v>
      </c>
      <c r="AG216" s="1231">
        <f t="shared" si="94"/>
        <v>7.5063125817791424E-4</v>
      </c>
      <c r="AH216" s="1172">
        <f t="shared" si="90"/>
        <v>0.27061368373773526</v>
      </c>
      <c r="AI216" s="1232">
        <f t="shared" si="91"/>
        <v>0.72938631626226469</v>
      </c>
      <c r="AJ216" s="227"/>
      <c r="AK216" s="227"/>
      <c r="AL216" s="227"/>
      <c r="AM216" s="227"/>
    </row>
    <row r="217" spans="1:39" x14ac:dyDescent="0.2">
      <c r="A217" s="330">
        <v>2044</v>
      </c>
      <c r="B217" s="344">
        <v>0</v>
      </c>
      <c r="C217" s="345">
        <v>0</v>
      </c>
      <c r="D217" s="345">
        <v>4.8952922988420083E-3</v>
      </c>
      <c r="E217" s="345">
        <v>3.8802950443961211E-2</v>
      </c>
      <c r="F217" s="345">
        <v>0</v>
      </c>
      <c r="G217" s="345">
        <v>0</v>
      </c>
      <c r="H217" s="345">
        <v>0</v>
      </c>
      <c r="I217" s="345">
        <v>0</v>
      </c>
      <c r="J217" s="345">
        <v>0</v>
      </c>
      <c r="K217" s="345">
        <v>0</v>
      </c>
      <c r="L217" s="380">
        <v>0</v>
      </c>
      <c r="M217" s="296">
        <f t="shared" si="85"/>
        <v>2.195775185456625E-3</v>
      </c>
      <c r="N217" s="298">
        <f t="shared" si="86"/>
        <v>9.2767929191149014E-4</v>
      </c>
      <c r="O217" s="344">
        <v>0</v>
      </c>
      <c r="P217" s="345">
        <v>0</v>
      </c>
      <c r="Q217" s="345">
        <v>1.0073944550950771E-2</v>
      </c>
      <c r="R217" s="345">
        <v>4.8431785127988167E-2</v>
      </c>
      <c r="S217" s="345">
        <v>0</v>
      </c>
      <c r="T217" s="345">
        <v>0</v>
      </c>
      <c r="U217" s="345">
        <v>0</v>
      </c>
      <c r="V217" s="345">
        <v>0</v>
      </c>
      <c r="W217" s="345">
        <v>0</v>
      </c>
      <c r="X217" s="345">
        <v>0</v>
      </c>
      <c r="Y217" s="380">
        <v>0</v>
      </c>
      <c r="Z217" s="296">
        <f t="shared" si="87"/>
        <v>3.742858589593796E-3</v>
      </c>
      <c r="AA217" s="298">
        <f t="shared" si="88"/>
        <v>1.5724167171844131E-3</v>
      </c>
      <c r="AB217" s="948">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49">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6">
        <f t="shared" si="95"/>
        <v>0</v>
      </c>
      <c r="AE217" s="1230">
        <f t="shared" si="92"/>
        <v>2.195775185456625E-3</v>
      </c>
      <c r="AF217" s="1231">
        <f t="shared" si="93"/>
        <v>3.742858589593796E-3</v>
      </c>
      <c r="AG217" s="1231">
        <f t="shared" si="94"/>
        <v>5.938633775050421E-3</v>
      </c>
      <c r="AH217" s="1172">
        <f t="shared" si="90"/>
        <v>0.36974416484168232</v>
      </c>
      <c r="AI217" s="1232">
        <f t="shared" si="91"/>
        <v>0.63025583515831773</v>
      </c>
      <c r="AJ217" s="227"/>
      <c r="AK217" s="227"/>
      <c r="AL217" s="227"/>
      <c r="AM217" s="227"/>
    </row>
    <row r="218" spans="1:39" ht="13.5" thickBot="1" x14ac:dyDescent="0.25">
      <c r="A218" s="328">
        <v>2045</v>
      </c>
      <c r="B218" s="346">
        <v>0</v>
      </c>
      <c r="C218" s="347">
        <v>1.4905131874093833E-3</v>
      </c>
      <c r="D218" s="347">
        <v>4.6204317737913739E-2</v>
      </c>
      <c r="E218" s="347">
        <v>0.10622145170164853</v>
      </c>
      <c r="F218" s="347">
        <v>0</v>
      </c>
      <c r="G218" s="347">
        <v>0</v>
      </c>
      <c r="H218" s="347">
        <v>0</v>
      </c>
      <c r="I218" s="347">
        <v>0</v>
      </c>
      <c r="J218" s="347">
        <v>0</v>
      </c>
      <c r="K218" s="347">
        <v>0</v>
      </c>
      <c r="L218" s="381">
        <v>0</v>
      </c>
      <c r="M218" s="310">
        <f t="shared" si="85"/>
        <v>9.1556450031474654E-3</v>
      </c>
      <c r="N218" s="312">
        <f t="shared" si="86"/>
        <v>4.4182201016786018E-3</v>
      </c>
      <c r="O218" s="346">
        <v>0</v>
      </c>
      <c r="P218" s="347">
        <v>2.7041904645224561E-3</v>
      </c>
      <c r="Q218" s="347">
        <v>6.2437854861600618E-2</v>
      </c>
      <c r="R218" s="347">
        <v>0.11561531363386035</v>
      </c>
      <c r="S218" s="347">
        <v>0</v>
      </c>
      <c r="T218" s="347">
        <v>0</v>
      </c>
      <c r="U218" s="347">
        <v>0</v>
      </c>
      <c r="V218" s="347">
        <v>0</v>
      </c>
      <c r="W218" s="347">
        <v>0</v>
      </c>
      <c r="X218" s="347">
        <v>0</v>
      </c>
      <c r="Y218" s="381">
        <v>0</v>
      </c>
      <c r="Z218" s="310">
        <f t="shared" si="87"/>
        <v>1.2883087409479358E-2</v>
      </c>
      <c r="AA218" s="312">
        <f t="shared" si="88"/>
        <v>6.2340776754932709E-3</v>
      </c>
      <c r="AB218" s="948">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49">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6">
        <f t="shared" si="95"/>
        <v>0</v>
      </c>
      <c r="AE218" s="1230">
        <f t="shared" si="92"/>
        <v>9.1556450031474654E-3</v>
      </c>
      <c r="AF218" s="1231">
        <f t="shared" si="93"/>
        <v>1.2883087409479358E-2</v>
      </c>
      <c r="AG218" s="1231">
        <f t="shared" si="94"/>
        <v>2.2038732412626823E-2</v>
      </c>
      <c r="AH218" s="1172">
        <f t="shared" si="90"/>
        <v>0.41543428323045706</v>
      </c>
      <c r="AI218" s="1232">
        <f t="shared" si="91"/>
        <v>0.58456571676954294</v>
      </c>
      <c r="AJ218" s="227"/>
      <c r="AK218" s="227"/>
      <c r="AL218" s="227"/>
      <c r="AM218" s="227"/>
    </row>
    <row r="219" spans="1:39" x14ac:dyDescent="0.2">
      <c r="A219" s="329">
        <v>2046</v>
      </c>
      <c r="B219" s="342">
        <v>0</v>
      </c>
      <c r="C219" s="343">
        <v>2.2801324011263491E-2</v>
      </c>
      <c r="D219" s="343">
        <v>0.11160873072567372</v>
      </c>
      <c r="E219" s="343">
        <v>0.16159207981446846</v>
      </c>
      <c r="F219" s="343">
        <v>0</v>
      </c>
      <c r="G219" s="343">
        <v>0</v>
      </c>
      <c r="H219" s="343">
        <v>0</v>
      </c>
      <c r="I219" s="343">
        <v>0</v>
      </c>
      <c r="J219" s="343">
        <v>0</v>
      </c>
      <c r="K219" s="343">
        <v>0</v>
      </c>
      <c r="L219" s="379">
        <v>0</v>
      </c>
      <c r="M219" s="282">
        <f t="shared" si="85"/>
        <v>2.0697624359143525E-2</v>
      </c>
      <c r="N219" s="284">
        <f t="shared" si="86"/>
        <v>1.1727662720160768E-2</v>
      </c>
      <c r="O219" s="342">
        <v>0</v>
      </c>
      <c r="P219" s="343">
        <v>3.0925599115944925E-2</v>
      </c>
      <c r="Q219" s="343">
        <v>0.12947699844592994</v>
      </c>
      <c r="R219" s="343">
        <v>0.16613014996620631</v>
      </c>
      <c r="S219" s="343">
        <v>0</v>
      </c>
      <c r="T219" s="343">
        <v>0</v>
      </c>
      <c r="U219" s="343">
        <v>0</v>
      </c>
      <c r="V219" s="343">
        <v>0</v>
      </c>
      <c r="W219" s="343">
        <v>0</v>
      </c>
      <c r="X219" s="343">
        <v>0</v>
      </c>
      <c r="Y219" s="379">
        <v>0</v>
      </c>
      <c r="Z219" s="282">
        <f t="shared" si="87"/>
        <v>2.9142512894687195E-2</v>
      </c>
      <c r="AA219" s="284">
        <f t="shared" si="88"/>
        <v>1.7734565618826862E-2</v>
      </c>
      <c r="AB219" s="948">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49">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6">
        <f t="shared" si="95"/>
        <v>0</v>
      </c>
      <c r="AE219" s="1230">
        <f t="shared" si="92"/>
        <v>2.0697624359143525E-2</v>
      </c>
      <c r="AF219" s="1231">
        <f t="shared" si="93"/>
        <v>2.9142512894687195E-2</v>
      </c>
      <c r="AG219" s="1231">
        <f t="shared" si="94"/>
        <v>4.984013725383072E-2</v>
      </c>
      <c r="AH219" s="1172">
        <f t="shared" si="90"/>
        <v>0.41528024398754443</v>
      </c>
      <c r="AI219" s="1232">
        <f t="shared" si="91"/>
        <v>0.58471975601245552</v>
      </c>
      <c r="AJ219" s="227"/>
      <c r="AK219" s="227"/>
      <c r="AL219" s="227"/>
      <c r="AM219" s="227"/>
    </row>
    <row r="220" spans="1:39" x14ac:dyDescent="0.2">
      <c r="A220" s="330">
        <v>2047</v>
      </c>
      <c r="B220" s="344">
        <v>0</v>
      </c>
      <c r="C220" s="345">
        <v>7.8403215122885339E-2</v>
      </c>
      <c r="D220" s="345">
        <v>0.17091068176951549</v>
      </c>
      <c r="E220" s="345">
        <v>0.19849293917370028</v>
      </c>
      <c r="F220" s="345">
        <v>0</v>
      </c>
      <c r="G220" s="345">
        <v>0</v>
      </c>
      <c r="H220" s="345">
        <v>0</v>
      </c>
      <c r="I220" s="345">
        <v>0</v>
      </c>
      <c r="J220" s="345">
        <v>0</v>
      </c>
      <c r="K220" s="345">
        <v>0</v>
      </c>
      <c r="L220" s="380">
        <v>0</v>
      </c>
      <c r="M220" s="296">
        <f t="shared" si="85"/>
        <v>3.6020153117099066E-2</v>
      </c>
      <c r="N220" s="298">
        <f t="shared" si="86"/>
        <v>2.325594856170201E-2</v>
      </c>
      <c r="O220" s="344">
        <v>0</v>
      </c>
      <c r="P220" s="345">
        <v>8.9095456365852074E-2</v>
      </c>
      <c r="Q220" s="345">
        <v>0.17467816366977942</v>
      </c>
      <c r="R220" s="345">
        <v>0.2020434681355012</v>
      </c>
      <c r="S220" s="345">
        <v>0</v>
      </c>
      <c r="T220" s="345">
        <v>0</v>
      </c>
      <c r="U220" s="345">
        <v>0</v>
      </c>
      <c r="V220" s="345">
        <v>0</v>
      </c>
      <c r="W220" s="345">
        <v>0</v>
      </c>
      <c r="X220" s="345">
        <v>0</v>
      </c>
      <c r="Y220" s="380">
        <v>0</v>
      </c>
      <c r="Z220" s="296">
        <f t="shared" si="87"/>
        <v>5.0779580670145548E-2</v>
      </c>
      <c r="AA220" s="298">
        <f t="shared" si="88"/>
        <v>3.5555329943340236E-2</v>
      </c>
      <c r="AB220" s="948">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49">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6">
        <f t="shared" si="95"/>
        <v>0</v>
      </c>
      <c r="AE220" s="1230">
        <f t="shared" si="92"/>
        <v>3.6020153117099066E-2</v>
      </c>
      <c r="AF220" s="1231">
        <f t="shared" si="93"/>
        <v>5.0779580670145548E-2</v>
      </c>
      <c r="AG220" s="1231">
        <f t="shared" si="94"/>
        <v>8.6799733787244621E-2</v>
      </c>
      <c r="AH220" s="1172">
        <f t="shared" si="90"/>
        <v>0.41497999527726998</v>
      </c>
      <c r="AI220" s="1232">
        <f t="shared" si="91"/>
        <v>0.58502000472272997</v>
      </c>
      <c r="AJ220" s="227"/>
      <c r="AK220" s="227"/>
      <c r="AL220" s="227"/>
      <c r="AM220" s="227"/>
    </row>
    <row r="221" spans="1:39" x14ac:dyDescent="0.2">
      <c r="A221" s="330">
        <v>2048</v>
      </c>
      <c r="B221" s="344">
        <v>6.4385625639551284E-4</v>
      </c>
      <c r="C221" s="345">
        <v>0.13058356810395513</v>
      </c>
      <c r="D221" s="345">
        <v>0.20243694938889714</v>
      </c>
      <c r="E221" s="345">
        <v>0.22014741294926676</v>
      </c>
      <c r="F221" s="345">
        <v>0</v>
      </c>
      <c r="G221" s="345">
        <v>0</v>
      </c>
      <c r="H221" s="345">
        <v>0</v>
      </c>
      <c r="I221" s="345">
        <v>0</v>
      </c>
      <c r="J221" s="345">
        <v>0</v>
      </c>
      <c r="K221" s="345">
        <v>0</v>
      </c>
      <c r="L221" s="380">
        <v>0</v>
      </c>
      <c r="M221" s="296">
        <f t="shared" si="85"/>
        <v>4.7711237822020434E-2</v>
      </c>
      <c r="N221" s="298">
        <f t="shared" si="86"/>
        <v>3.2727358026148165E-2</v>
      </c>
      <c r="O221" s="344">
        <v>6.4385625639551284E-4</v>
      </c>
      <c r="P221" s="345">
        <v>0.14524485710531779</v>
      </c>
      <c r="Q221" s="345">
        <v>0.20669457894190194</v>
      </c>
      <c r="R221" s="345">
        <v>0.22253181938830691</v>
      </c>
      <c r="S221" s="345">
        <v>0</v>
      </c>
      <c r="T221" s="345">
        <v>0</v>
      </c>
      <c r="U221" s="345">
        <v>0</v>
      </c>
      <c r="V221" s="345">
        <v>0</v>
      </c>
      <c r="W221" s="345">
        <v>0</v>
      </c>
      <c r="X221" s="345">
        <v>0</v>
      </c>
      <c r="Y221" s="380">
        <v>0</v>
      </c>
      <c r="Z221" s="296">
        <f t="shared" si="87"/>
        <v>6.9916875802514614E-2</v>
      </c>
      <c r="AA221" s="298">
        <f t="shared" si="88"/>
        <v>5.2069158726680609E-2</v>
      </c>
      <c r="AB221" s="948">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49">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6">
        <f t="shared" si="95"/>
        <v>0</v>
      </c>
      <c r="AE221" s="1230">
        <f t="shared" si="92"/>
        <v>4.7711237822020434E-2</v>
      </c>
      <c r="AF221" s="1231">
        <f t="shared" si="93"/>
        <v>6.9916875802514614E-2</v>
      </c>
      <c r="AG221" s="1231">
        <f t="shared" si="94"/>
        <v>0.11762811362453504</v>
      </c>
      <c r="AH221" s="1172">
        <f t="shared" si="90"/>
        <v>0.40561083870062808</v>
      </c>
      <c r="AI221" s="1232">
        <f t="shared" si="91"/>
        <v>0.59438916129937203</v>
      </c>
      <c r="AJ221" s="227"/>
      <c r="AK221" s="227"/>
      <c r="AL221" s="227"/>
      <c r="AM221" s="227"/>
    </row>
    <row r="222" spans="1:39" x14ac:dyDescent="0.2">
      <c r="A222" s="330">
        <v>2049</v>
      </c>
      <c r="B222" s="344">
        <v>6.033513667621759E-3</v>
      </c>
      <c r="C222" s="345">
        <v>0.17153889969010863</v>
      </c>
      <c r="D222" s="345">
        <v>0.2183280620199671</v>
      </c>
      <c r="E222" s="345">
        <v>0.23173891136758781</v>
      </c>
      <c r="F222" s="345">
        <v>0</v>
      </c>
      <c r="G222" s="345">
        <v>0</v>
      </c>
      <c r="H222" s="345">
        <v>0</v>
      </c>
      <c r="I222" s="345">
        <v>0</v>
      </c>
      <c r="J222" s="345">
        <v>0</v>
      </c>
      <c r="K222" s="345">
        <v>0</v>
      </c>
      <c r="L222" s="380">
        <v>0</v>
      </c>
      <c r="M222" s="296">
        <f t="shared" si="85"/>
        <v>5.621744684435763E-2</v>
      </c>
      <c r="N222" s="298">
        <f t="shared" si="86"/>
        <v>4.0422050525150834E-2</v>
      </c>
      <c r="O222" s="344">
        <v>5.2257331022592607E-3</v>
      </c>
      <c r="P222" s="345">
        <v>0.17784514108239927</v>
      </c>
      <c r="Q222" s="345">
        <v>0.22039838052186361</v>
      </c>
      <c r="R222" s="345">
        <v>0.23087292297480361</v>
      </c>
      <c r="S222" s="345">
        <v>0</v>
      </c>
      <c r="T222" s="345">
        <v>0</v>
      </c>
      <c r="U222" s="345">
        <v>0</v>
      </c>
      <c r="V222" s="345">
        <v>0</v>
      </c>
      <c r="W222" s="345">
        <v>0</v>
      </c>
      <c r="X222" s="345">
        <v>0</v>
      </c>
      <c r="Y222" s="380">
        <v>0</v>
      </c>
      <c r="Z222" s="296">
        <f t="shared" si="87"/>
        <v>8.088888443714666E-2</v>
      </c>
      <c r="AA222" s="298">
        <f t="shared" si="88"/>
        <v>6.2498411841600078E-2</v>
      </c>
      <c r="AB222" s="948">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49">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6">
        <f t="shared" si="95"/>
        <v>0</v>
      </c>
      <c r="AE222" s="1230">
        <f t="shared" si="92"/>
        <v>5.621744684435763E-2</v>
      </c>
      <c r="AF222" s="1231">
        <f t="shared" si="93"/>
        <v>8.088888443714666E-2</v>
      </c>
      <c r="AG222" s="1231">
        <f t="shared" si="94"/>
        <v>0.13710633128150429</v>
      </c>
      <c r="AH222" s="1172">
        <f t="shared" si="90"/>
        <v>0.41002808782719863</v>
      </c>
      <c r="AI222" s="1232">
        <f t="shared" si="91"/>
        <v>0.58997191217280143</v>
      </c>
      <c r="AJ222" s="227"/>
      <c r="AK222" s="227"/>
      <c r="AL222" s="227"/>
      <c r="AM222" s="227"/>
    </row>
    <row r="223" spans="1:39" ht="13.5" thickBot="1" x14ac:dyDescent="0.25">
      <c r="A223" s="328">
        <v>2050</v>
      </c>
      <c r="B223" s="346">
        <v>5.4936286667319381E-2</v>
      </c>
      <c r="C223" s="347">
        <v>0.21963114982126317</v>
      </c>
      <c r="D223" s="347">
        <v>0.23988149080298238</v>
      </c>
      <c r="E223" s="347">
        <v>0.24258556174608589</v>
      </c>
      <c r="F223" s="347">
        <v>0</v>
      </c>
      <c r="G223" s="347">
        <v>0</v>
      </c>
      <c r="H223" s="347">
        <v>0</v>
      </c>
      <c r="I223" s="347">
        <v>0</v>
      </c>
      <c r="J223" s="347">
        <v>0</v>
      </c>
      <c r="K223" s="347">
        <v>0</v>
      </c>
      <c r="L223" s="381">
        <v>0</v>
      </c>
      <c r="M223" s="310">
        <f t="shared" si="85"/>
        <v>6.9505942650399888E-2</v>
      </c>
      <c r="N223" s="312">
        <f t="shared" si="86"/>
        <v>5.6576929005959134E-2</v>
      </c>
      <c r="O223" s="346">
        <v>5.5247713127580915E-2</v>
      </c>
      <c r="P223" s="347">
        <v>0.22227629881796401</v>
      </c>
      <c r="Q223" s="347">
        <v>0.24155161550446719</v>
      </c>
      <c r="R223" s="347">
        <v>0.24318837665947585</v>
      </c>
      <c r="S223" s="347">
        <v>0</v>
      </c>
      <c r="T223" s="347">
        <v>0</v>
      </c>
      <c r="U223" s="347">
        <v>0</v>
      </c>
      <c r="V223" s="347">
        <v>0</v>
      </c>
      <c r="W223" s="347">
        <v>0</v>
      </c>
      <c r="X223" s="347">
        <v>0</v>
      </c>
      <c r="Y223" s="381">
        <v>0</v>
      </c>
      <c r="Z223" s="310">
        <f t="shared" si="87"/>
        <v>0.10113333313749424</v>
      </c>
      <c r="AA223" s="312">
        <f t="shared" si="88"/>
        <v>8.8811129400957617E-2</v>
      </c>
      <c r="AB223" s="950">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1">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7">
        <f t="shared" si="95"/>
        <v>0</v>
      </c>
      <c r="AE223" s="1233">
        <f t="shared" si="92"/>
        <v>6.9505942650399888E-2</v>
      </c>
      <c r="AF223" s="1234">
        <f t="shared" si="93"/>
        <v>0.10113333313749424</v>
      </c>
      <c r="AG223" s="1234">
        <f t="shared" si="94"/>
        <v>0.17063927578789412</v>
      </c>
      <c r="AH223" s="1235">
        <f t="shared" si="90"/>
        <v>0.40732675598551116</v>
      </c>
      <c r="AI223" s="1236">
        <f t="shared" si="91"/>
        <v>0.59267324401448895</v>
      </c>
      <c r="AJ223" s="227"/>
      <c r="AK223" s="227"/>
      <c r="AL223" s="227"/>
      <c r="AM223" s="227"/>
    </row>
    <row r="224" spans="1:39" x14ac:dyDescent="0.2">
      <c r="B224" s="227" t="s">
        <v>240</v>
      </c>
      <c r="U224" s="227" t="s">
        <v>240</v>
      </c>
      <c r="AI224" s="227"/>
    </row>
    <row r="225" spans="1:35" x14ac:dyDescent="0.2">
      <c r="AI225" s="227"/>
    </row>
    <row r="226" spans="1:35" ht="13.5" thickBot="1" x14ac:dyDescent="0.25">
      <c r="AI226" s="227"/>
    </row>
    <row r="227" spans="1:35" ht="15" x14ac:dyDescent="0.25">
      <c r="A227" s="333"/>
      <c r="B227" s="613" t="s">
        <v>216</v>
      </c>
      <c r="C227" s="614"/>
      <c r="D227" s="614"/>
      <c r="E227" s="614"/>
      <c r="F227" s="614"/>
      <c r="G227" s="614"/>
      <c r="H227" s="614"/>
      <c r="I227" s="614"/>
      <c r="J227" s="614"/>
      <c r="K227" s="614"/>
      <c r="L227" s="614"/>
      <c r="M227" s="614"/>
      <c r="N227" s="615"/>
      <c r="O227" s="613" t="s">
        <v>217</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4" t="s">
        <v>267</v>
      </c>
      <c r="AD228" s="234" t="b">
        <f>INDEX(TECH_OPT_FUEL2_Cls3,MATCH(RIGHT(O227),TECH_OPT_ROWS_Cls3,0))&lt;&gt;"N/A"</f>
        <v>0</v>
      </c>
    </row>
    <row r="229" spans="1:35" ht="13.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MATCH(RIGHT(O227),TECH_OPT_ROWS_Cls3,0)</f>
        <v>5</v>
      </c>
    </row>
    <row r="230" spans="1:35" ht="14.25"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09">
        <v>1.1022999100839563E-4</v>
      </c>
      <c r="Z230" s="1214"/>
      <c r="AA230" s="1215"/>
      <c r="AI230" s="227"/>
    </row>
    <row r="231" spans="1:35" x14ac:dyDescent="0.2">
      <c r="A231" s="331" t="s">
        <v>125</v>
      </c>
      <c r="B231" s="923">
        <f t="array" ref="B231:L231">TRANSPOSE(Cls3CentVMTShr)</f>
        <v>7.4407503791532936E-2</v>
      </c>
      <c r="C231" s="924">
        <v>0.15052192967997111</v>
      </c>
      <c r="D231" s="924">
        <v>8.9028098283245441E-2</v>
      </c>
      <c r="E231" s="924">
        <v>4.5356257743642811E-2</v>
      </c>
      <c r="F231" s="924">
        <v>2.1016507050137231E-2</v>
      </c>
      <c r="G231" s="924">
        <v>4.9007047894213725E-4</v>
      </c>
      <c r="H231" s="924">
        <v>1.4797621296467818E-2</v>
      </c>
      <c r="I231" s="924">
        <v>0</v>
      </c>
      <c r="J231" s="924">
        <v>0</v>
      </c>
      <c r="K231" s="924">
        <v>3.7103078033661591E-3</v>
      </c>
      <c r="L231" s="1210">
        <v>0</v>
      </c>
      <c r="M231" s="1211"/>
      <c r="N231" s="1212"/>
      <c r="O231" s="923">
        <f t="array" ref="O231:Y231">TRANSPOSE(Cls3NCentVMTShr)</f>
        <v>0.11481596497083862</v>
      </c>
      <c r="P231" s="924">
        <v>0.26987209279577573</v>
      </c>
      <c r="Q231" s="924">
        <v>8.3836105982992667E-2</v>
      </c>
      <c r="R231" s="924">
        <v>5.9842896537765707E-2</v>
      </c>
      <c r="S231" s="924">
        <v>1.6413649143963899E-2</v>
      </c>
      <c r="T231" s="924">
        <v>1.0165768727376887E-2</v>
      </c>
      <c r="U231" s="924">
        <v>2.0700108148562976E-2</v>
      </c>
      <c r="V231" s="924">
        <v>2.0956833812228508E-2</v>
      </c>
      <c r="W231" s="924">
        <v>3.1584958359553582E-3</v>
      </c>
      <c r="X231" s="924">
        <v>0</v>
      </c>
      <c r="Y231" s="925">
        <v>9.0978791723388369E-4</v>
      </c>
      <c r="Z231" s="1211"/>
      <c r="AA231" s="1212"/>
      <c r="AB231" s="1551" t="str">
        <f>"% of miles on f2 for Tech "&amp; RIGHT(O226)&amp;" adopters"</f>
        <v>% of miles on f2 for Tech  adopters</v>
      </c>
      <c r="AC231" s="1552"/>
      <c r="AD231" s="1553"/>
      <c r="AE231" s="1237" t="s">
        <v>298</v>
      </c>
      <c r="AF231" s="1238"/>
      <c r="AG231" s="1238"/>
      <c r="AH231" s="1228" t="s">
        <v>297</v>
      </c>
      <c r="AI231" s="1229"/>
    </row>
    <row r="232" spans="1:35" ht="13.5" thickBot="1" x14ac:dyDescent="0.25">
      <c r="A232" s="942" t="s">
        <v>266</v>
      </c>
      <c r="B232" s="933">
        <f t="array" ref="B232:L232">TRANSPOSE(Cls3CentVMT/OPDAYS_Cls3)</f>
        <v>49.202805162026571</v>
      </c>
      <c r="C232" s="934">
        <v>115.99623692884222</v>
      </c>
      <c r="D232" s="934">
        <v>190.94140758026836</v>
      </c>
      <c r="E232" s="934">
        <v>282.72824571583544</v>
      </c>
      <c r="F232" s="934">
        <v>349.10577157713089</v>
      </c>
      <c r="G232" s="934">
        <v>408.92399999999998</v>
      </c>
      <c r="H232" s="934">
        <v>540.31926836851005</v>
      </c>
      <c r="I232" s="934">
        <v>600</v>
      </c>
      <c r="J232" s="934">
        <v>680</v>
      </c>
      <c r="K232" s="934">
        <v>800.00000000000011</v>
      </c>
      <c r="L232" s="935">
        <v>800</v>
      </c>
      <c r="M232" s="931"/>
      <c r="N232" s="932"/>
      <c r="O232" s="933">
        <f t="array" ref="O232:Y232">TRANSPOSE(Cls3NCentVMT/OPDAYS_Cls3)</f>
        <v>45.820527909508108</v>
      </c>
      <c r="P232" s="934">
        <v>114.90604343518244</v>
      </c>
      <c r="Q232" s="934">
        <v>196.29405935940918</v>
      </c>
      <c r="R232" s="934">
        <v>286.46435582159182</v>
      </c>
      <c r="S232" s="934">
        <v>352.24339419308075</v>
      </c>
      <c r="T232" s="934">
        <v>427.07804424634116</v>
      </c>
      <c r="U232" s="934">
        <v>519.59880241076587</v>
      </c>
      <c r="V232" s="934">
        <v>608.4346682070543</v>
      </c>
      <c r="W232" s="934">
        <v>703.2</v>
      </c>
      <c r="X232" s="934">
        <v>760</v>
      </c>
      <c r="Y232" s="1213">
        <v>900</v>
      </c>
      <c r="Z232" s="943"/>
      <c r="AA232" s="932"/>
      <c r="AB232" s="945" t="s">
        <v>186</v>
      </c>
      <c r="AC232" s="946" t="s">
        <v>15</v>
      </c>
      <c r="AD232" s="947" t="s">
        <v>18</v>
      </c>
      <c r="AE232" s="330" t="s">
        <v>186</v>
      </c>
      <c r="AF232" s="1239" t="s">
        <v>15</v>
      </c>
      <c r="AG232" s="1239" t="s">
        <v>18</v>
      </c>
      <c r="AH232" s="1240" t="s">
        <v>186</v>
      </c>
      <c r="AI232" s="1241" t="s">
        <v>15</v>
      </c>
    </row>
    <row r="233" spans="1:35" ht="13.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8">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49">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6">
        <f>AB233*AH233+AC233*AI233</f>
        <v>0</v>
      </c>
      <c r="AE233" s="1230">
        <f t="shared" ref="AE233:AE247" si="96">SUMPRODUCT($B$74:$L$74,B233:L233)</f>
        <v>0</v>
      </c>
      <c r="AF233" s="1231">
        <f t="shared" ref="AF233:AF247" si="97">SUMPRODUCT($O$74:$Y$74,O233:Y233)</f>
        <v>0</v>
      </c>
      <c r="AG233" s="1231">
        <f t="shared" ref="AG233:AG247" si="98">SUM(AE233:AF233)</f>
        <v>0</v>
      </c>
      <c r="AH233" s="1172">
        <f>IF(AG233&gt;0,AE233/AG233,0)</f>
        <v>0</v>
      </c>
      <c r="AI233" s="1232">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99">SUMPRODUCT(B234:L234,$B$231:$L$231)</f>
        <v>0</v>
      </c>
      <c r="N234" s="298">
        <f t="shared" ref="N234:N276" si="100">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01">SUMPRODUCT(O234:Y234,$O$231:$Y$231)</f>
        <v>0</v>
      </c>
      <c r="AA234" s="298">
        <f t="shared" ref="AA234:AA276" si="102">SUMPRODUCT(O234:Y234,$O$230:$Y$230)</f>
        <v>0</v>
      </c>
      <c r="AB234" s="948">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49">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6">
        <f t="shared" ref="AD234:AD258" si="103">AB234*AH234+AC234*AI234</f>
        <v>0</v>
      </c>
      <c r="AE234" s="1230">
        <f t="shared" si="96"/>
        <v>0</v>
      </c>
      <c r="AF234" s="1231">
        <f t="shared" si="97"/>
        <v>0</v>
      </c>
      <c r="AG234" s="1231">
        <f t="shared" si="98"/>
        <v>0</v>
      </c>
      <c r="AH234" s="1172">
        <f t="shared" ref="AH234:AH276" si="104">IF(AG234&gt;0,AE234/AG234,0)</f>
        <v>0</v>
      </c>
      <c r="AI234" s="1232">
        <f t="shared" ref="AI234:AI276" si="105">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99"/>
        <v>0</v>
      </c>
      <c r="N235" s="298">
        <f t="shared" si="100"/>
        <v>0</v>
      </c>
      <c r="O235" s="344">
        <v>0</v>
      </c>
      <c r="P235" s="345">
        <v>0</v>
      </c>
      <c r="Q235" s="345">
        <v>0</v>
      </c>
      <c r="R235" s="345">
        <v>0</v>
      </c>
      <c r="S235" s="345">
        <v>0</v>
      </c>
      <c r="T235" s="345">
        <v>0</v>
      </c>
      <c r="U235" s="345">
        <v>0</v>
      </c>
      <c r="V235" s="345">
        <v>0</v>
      </c>
      <c r="W235" s="345">
        <v>0</v>
      </c>
      <c r="X235" s="345">
        <v>0</v>
      </c>
      <c r="Y235" s="380">
        <v>0</v>
      </c>
      <c r="Z235" s="296">
        <f t="shared" si="101"/>
        <v>0</v>
      </c>
      <c r="AA235" s="298">
        <f t="shared" si="102"/>
        <v>0</v>
      </c>
      <c r="AB235" s="948">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49">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6">
        <f t="shared" si="103"/>
        <v>0</v>
      </c>
      <c r="AE235" s="1230">
        <f t="shared" si="96"/>
        <v>0</v>
      </c>
      <c r="AF235" s="1231">
        <f t="shared" si="97"/>
        <v>0</v>
      </c>
      <c r="AG235" s="1231">
        <f t="shared" si="98"/>
        <v>0</v>
      </c>
      <c r="AH235" s="1172">
        <f t="shared" si="104"/>
        <v>0</v>
      </c>
      <c r="AI235" s="1232">
        <f t="shared" si="105"/>
        <v>0</v>
      </c>
    </row>
    <row r="236" spans="1:35" ht="13.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99"/>
        <v>0</v>
      </c>
      <c r="N236" s="312">
        <f t="shared" si="100"/>
        <v>0</v>
      </c>
      <c r="O236" s="346">
        <v>0</v>
      </c>
      <c r="P236" s="347">
        <v>0</v>
      </c>
      <c r="Q236" s="347">
        <v>0</v>
      </c>
      <c r="R236" s="347">
        <v>0</v>
      </c>
      <c r="S236" s="347">
        <v>0</v>
      </c>
      <c r="T236" s="347">
        <v>0</v>
      </c>
      <c r="U236" s="347">
        <v>0</v>
      </c>
      <c r="V236" s="347">
        <v>0</v>
      </c>
      <c r="W236" s="347">
        <v>0</v>
      </c>
      <c r="X236" s="347">
        <v>0</v>
      </c>
      <c r="Y236" s="381">
        <v>0</v>
      </c>
      <c r="Z236" s="310">
        <f t="shared" si="101"/>
        <v>0</v>
      </c>
      <c r="AA236" s="312">
        <f t="shared" si="102"/>
        <v>0</v>
      </c>
      <c r="AB236" s="948">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49">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6">
        <f t="shared" si="103"/>
        <v>0</v>
      </c>
      <c r="AE236" s="1230">
        <f t="shared" si="96"/>
        <v>0</v>
      </c>
      <c r="AF236" s="1231">
        <f t="shared" si="97"/>
        <v>0</v>
      </c>
      <c r="AG236" s="1231">
        <f t="shared" si="98"/>
        <v>0</v>
      </c>
      <c r="AH236" s="1172">
        <f t="shared" si="104"/>
        <v>0</v>
      </c>
      <c r="AI236" s="1232">
        <f t="shared" si="105"/>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99"/>
        <v>0</v>
      </c>
      <c r="N237" s="284">
        <f t="shared" si="100"/>
        <v>0</v>
      </c>
      <c r="O237" s="342">
        <v>0</v>
      </c>
      <c r="P237" s="343">
        <v>0</v>
      </c>
      <c r="Q237" s="343">
        <v>0</v>
      </c>
      <c r="R237" s="343">
        <v>0</v>
      </c>
      <c r="S237" s="343">
        <v>0</v>
      </c>
      <c r="T237" s="343">
        <v>0</v>
      </c>
      <c r="U237" s="343">
        <v>0</v>
      </c>
      <c r="V237" s="343">
        <v>0</v>
      </c>
      <c r="W237" s="343">
        <v>0</v>
      </c>
      <c r="X237" s="343">
        <v>0</v>
      </c>
      <c r="Y237" s="379">
        <v>0</v>
      </c>
      <c r="Z237" s="282">
        <f t="shared" si="101"/>
        <v>0</v>
      </c>
      <c r="AA237" s="284">
        <f t="shared" si="102"/>
        <v>0</v>
      </c>
      <c r="AB237" s="948">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49">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6">
        <f t="shared" si="103"/>
        <v>0</v>
      </c>
      <c r="AE237" s="1230">
        <f t="shared" si="96"/>
        <v>0</v>
      </c>
      <c r="AF237" s="1231">
        <f t="shared" si="97"/>
        <v>0</v>
      </c>
      <c r="AG237" s="1231">
        <f t="shared" si="98"/>
        <v>0</v>
      </c>
      <c r="AH237" s="1172">
        <f t="shared" si="104"/>
        <v>0</v>
      </c>
      <c r="AI237" s="1232">
        <f t="shared" si="105"/>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99"/>
        <v>0</v>
      </c>
      <c r="N238" s="298">
        <f t="shared" si="100"/>
        <v>0</v>
      </c>
      <c r="O238" s="344">
        <v>0</v>
      </c>
      <c r="P238" s="345">
        <v>0</v>
      </c>
      <c r="Q238" s="345">
        <v>0</v>
      </c>
      <c r="R238" s="345">
        <v>0</v>
      </c>
      <c r="S238" s="345">
        <v>0</v>
      </c>
      <c r="T238" s="345">
        <v>0</v>
      </c>
      <c r="U238" s="345">
        <v>0</v>
      </c>
      <c r="V238" s="345">
        <v>0</v>
      </c>
      <c r="W238" s="345">
        <v>0</v>
      </c>
      <c r="X238" s="345">
        <v>0</v>
      </c>
      <c r="Y238" s="380">
        <v>0</v>
      </c>
      <c r="Z238" s="296">
        <f t="shared" si="101"/>
        <v>0</v>
      </c>
      <c r="AA238" s="298">
        <f t="shared" si="102"/>
        <v>0</v>
      </c>
      <c r="AB238" s="948">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49">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6">
        <f t="shared" si="103"/>
        <v>0</v>
      </c>
      <c r="AE238" s="1230">
        <f t="shared" si="96"/>
        <v>0</v>
      </c>
      <c r="AF238" s="1231">
        <f t="shared" si="97"/>
        <v>0</v>
      </c>
      <c r="AG238" s="1231">
        <f t="shared" si="98"/>
        <v>0</v>
      </c>
      <c r="AH238" s="1172">
        <f t="shared" si="104"/>
        <v>0</v>
      </c>
      <c r="AI238" s="1232">
        <f t="shared" si="105"/>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99"/>
        <v>0</v>
      </c>
      <c r="N239" s="298">
        <f t="shared" si="100"/>
        <v>0</v>
      </c>
      <c r="O239" s="344">
        <v>0</v>
      </c>
      <c r="P239" s="345">
        <v>0</v>
      </c>
      <c r="Q239" s="345">
        <v>0</v>
      </c>
      <c r="R239" s="345">
        <v>0</v>
      </c>
      <c r="S239" s="345">
        <v>0</v>
      </c>
      <c r="T239" s="345">
        <v>0</v>
      </c>
      <c r="U239" s="345">
        <v>0</v>
      </c>
      <c r="V239" s="345">
        <v>0</v>
      </c>
      <c r="W239" s="345">
        <v>0</v>
      </c>
      <c r="X239" s="345">
        <v>0</v>
      </c>
      <c r="Y239" s="380">
        <v>0</v>
      </c>
      <c r="Z239" s="296">
        <f t="shared" si="101"/>
        <v>0</v>
      </c>
      <c r="AA239" s="298">
        <f t="shared" si="102"/>
        <v>0</v>
      </c>
      <c r="AB239" s="948">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49">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6">
        <f t="shared" si="103"/>
        <v>0</v>
      </c>
      <c r="AE239" s="1230">
        <f t="shared" si="96"/>
        <v>0</v>
      </c>
      <c r="AF239" s="1231">
        <f t="shared" si="97"/>
        <v>0</v>
      </c>
      <c r="AG239" s="1231">
        <f t="shared" si="98"/>
        <v>0</v>
      </c>
      <c r="AH239" s="1172">
        <f t="shared" si="104"/>
        <v>0</v>
      </c>
      <c r="AI239" s="1232">
        <f t="shared" si="105"/>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99"/>
        <v>0</v>
      </c>
      <c r="N240" s="298">
        <f t="shared" si="100"/>
        <v>0</v>
      </c>
      <c r="O240" s="344">
        <v>0</v>
      </c>
      <c r="P240" s="345">
        <v>0</v>
      </c>
      <c r="Q240" s="345">
        <v>0</v>
      </c>
      <c r="R240" s="345">
        <v>0</v>
      </c>
      <c r="S240" s="345">
        <v>0</v>
      </c>
      <c r="T240" s="345">
        <v>0</v>
      </c>
      <c r="U240" s="345">
        <v>0</v>
      </c>
      <c r="V240" s="345">
        <v>0</v>
      </c>
      <c r="W240" s="345">
        <v>0</v>
      </c>
      <c r="X240" s="345">
        <v>0</v>
      </c>
      <c r="Y240" s="380">
        <v>0</v>
      </c>
      <c r="Z240" s="296">
        <f t="shared" si="101"/>
        <v>0</v>
      </c>
      <c r="AA240" s="298">
        <f t="shared" si="102"/>
        <v>0</v>
      </c>
      <c r="AB240" s="948">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49">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6">
        <f t="shared" si="103"/>
        <v>0</v>
      </c>
      <c r="AE240" s="1230">
        <f t="shared" si="96"/>
        <v>0</v>
      </c>
      <c r="AF240" s="1231">
        <f t="shared" si="97"/>
        <v>0</v>
      </c>
      <c r="AG240" s="1231">
        <f t="shared" si="98"/>
        <v>0</v>
      </c>
      <c r="AH240" s="1172">
        <f t="shared" si="104"/>
        <v>0</v>
      </c>
      <c r="AI240" s="1232">
        <f t="shared" si="105"/>
        <v>0</v>
      </c>
    </row>
    <row r="241" spans="1:35" ht="13.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99"/>
        <v>0</v>
      </c>
      <c r="N241" s="312">
        <f t="shared" si="100"/>
        <v>0</v>
      </c>
      <c r="O241" s="346">
        <v>0</v>
      </c>
      <c r="P241" s="347">
        <v>0</v>
      </c>
      <c r="Q241" s="347">
        <v>0</v>
      </c>
      <c r="R241" s="347">
        <v>0</v>
      </c>
      <c r="S241" s="347">
        <v>0</v>
      </c>
      <c r="T241" s="347">
        <v>0</v>
      </c>
      <c r="U241" s="347">
        <v>0</v>
      </c>
      <c r="V241" s="347">
        <v>0</v>
      </c>
      <c r="W241" s="347">
        <v>0</v>
      </c>
      <c r="X241" s="347">
        <v>0</v>
      </c>
      <c r="Y241" s="381">
        <v>0</v>
      </c>
      <c r="Z241" s="310">
        <f t="shared" si="101"/>
        <v>0</v>
      </c>
      <c r="AA241" s="312">
        <f t="shared" si="102"/>
        <v>0</v>
      </c>
      <c r="AB241" s="948">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49">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6">
        <f t="shared" si="103"/>
        <v>0</v>
      </c>
      <c r="AE241" s="1230">
        <f t="shared" si="96"/>
        <v>0</v>
      </c>
      <c r="AF241" s="1231">
        <f t="shared" si="97"/>
        <v>0</v>
      </c>
      <c r="AG241" s="1231">
        <f t="shared" si="98"/>
        <v>0</v>
      </c>
      <c r="AH241" s="1172">
        <f t="shared" si="104"/>
        <v>0</v>
      </c>
      <c r="AI241" s="1232">
        <f t="shared" si="105"/>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99"/>
        <v>0</v>
      </c>
      <c r="N242" s="284">
        <f t="shared" si="100"/>
        <v>0</v>
      </c>
      <c r="O242" s="342">
        <v>0</v>
      </c>
      <c r="P242" s="343">
        <v>0</v>
      </c>
      <c r="Q242" s="343">
        <v>0</v>
      </c>
      <c r="R242" s="343">
        <v>0</v>
      </c>
      <c r="S242" s="343">
        <v>0</v>
      </c>
      <c r="T242" s="343">
        <v>0</v>
      </c>
      <c r="U242" s="343">
        <v>0</v>
      </c>
      <c r="V242" s="343">
        <v>0</v>
      </c>
      <c r="W242" s="343">
        <v>0</v>
      </c>
      <c r="X242" s="343">
        <v>0</v>
      </c>
      <c r="Y242" s="379">
        <v>0</v>
      </c>
      <c r="Z242" s="282">
        <f t="shared" si="101"/>
        <v>0</v>
      </c>
      <c r="AA242" s="284">
        <f t="shared" si="102"/>
        <v>0</v>
      </c>
      <c r="AB242" s="948">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49">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6">
        <f t="shared" si="103"/>
        <v>0</v>
      </c>
      <c r="AE242" s="1230">
        <f t="shared" si="96"/>
        <v>0</v>
      </c>
      <c r="AF242" s="1231">
        <f t="shared" si="97"/>
        <v>0</v>
      </c>
      <c r="AG242" s="1231">
        <f t="shared" si="98"/>
        <v>0</v>
      </c>
      <c r="AH242" s="1172">
        <f t="shared" si="104"/>
        <v>0</v>
      </c>
      <c r="AI242" s="1232">
        <f t="shared" si="105"/>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99"/>
        <v>0</v>
      </c>
      <c r="N243" s="298">
        <f t="shared" si="100"/>
        <v>0</v>
      </c>
      <c r="O243" s="344">
        <v>0</v>
      </c>
      <c r="P243" s="345">
        <v>0</v>
      </c>
      <c r="Q243" s="345">
        <v>0</v>
      </c>
      <c r="R243" s="345">
        <v>0</v>
      </c>
      <c r="S243" s="345">
        <v>0</v>
      </c>
      <c r="T243" s="345">
        <v>0</v>
      </c>
      <c r="U243" s="345">
        <v>0</v>
      </c>
      <c r="V243" s="345">
        <v>0</v>
      </c>
      <c r="W243" s="345">
        <v>0</v>
      </c>
      <c r="X243" s="345">
        <v>0</v>
      </c>
      <c r="Y243" s="380">
        <v>0</v>
      </c>
      <c r="Z243" s="296">
        <f t="shared" si="101"/>
        <v>0</v>
      </c>
      <c r="AA243" s="298">
        <f t="shared" si="102"/>
        <v>0</v>
      </c>
      <c r="AB243" s="948">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49">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6">
        <f t="shared" si="103"/>
        <v>0</v>
      </c>
      <c r="AE243" s="1230">
        <f t="shared" si="96"/>
        <v>0</v>
      </c>
      <c r="AF243" s="1231">
        <f t="shared" si="97"/>
        <v>0</v>
      </c>
      <c r="AG243" s="1231">
        <f t="shared" si="98"/>
        <v>0</v>
      </c>
      <c r="AH243" s="1172">
        <f t="shared" si="104"/>
        <v>0</v>
      </c>
      <c r="AI243" s="1232">
        <f t="shared" si="105"/>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99"/>
        <v>0</v>
      </c>
      <c r="N244" s="298">
        <f t="shared" si="100"/>
        <v>0</v>
      </c>
      <c r="O244" s="344">
        <v>0</v>
      </c>
      <c r="P244" s="345">
        <v>0</v>
      </c>
      <c r="Q244" s="345">
        <v>0</v>
      </c>
      <c r="R244" s="345">
        <v>0</v>
      </c>
      <c r="S244" s="345">
        <v>0</v>
      </c>
      <c r="T244" s="345">
        <v>0</v>
      </c>
      <c r="U244" s="345">
        <v>0</v>
      </c>
      <c r="V244" s="345">
        <v>0</v>
      </c>
      <c r="W244" s="345">
        <v>0</v>
      </c>
      <c r="X244" s="345">
        <v>0</v>
      </c>
      <c r="Y244" s="380">
        <v>0</v>
      </c>
      <c r="Z244" s="296">
        <f t="shared" si="101"/>
        <v>0</v>
      </c>
      <c r="AA244" s="298">
        <f t="shared" si="102"/>
        <v>0</v>
      </c>
      <c r="AB244" s="948">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49">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6">
        <f t="shared" si="103"/>
        <v>0</v>
      </c>
      <c r="AE244" s="1230">
        <f t="shared" si="96"/>
        <v>0</v>
      </c>
      <c r="AF244" s="1231">
        <f t="shared" si="97"/>
        <v>0</v>
      </c>
      <c r="AG244" s="1231">
        <f t="shared" si="98"/>
        <v>0</v>
      </c>
      <c r="AH244" s="1172">
        <f t="shared" si="104"/>
        <v>0</v>
      </c>
      <c r="AI244" s="1232">
        <f t="shared" si="105"/>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99"/>
        <v>0</v>
      </c>
      <c r="N245" s="298">
        <f t="shared" si="100"/>
        <v>0</v>
      </c>
      <c r="O245" s="344">
        <v>0</v>
      </c>
      <c r="P245" s="345">
        <v>0</v>
      </c>
      <c r="Q245" s="345">
        <v>0</v>
      </c>
      <c r="R245" s="345">
        <v>0</v>
      </c>
      <c r="S245" s="345">
        <v>0</v>
      </c>
      <c r="T245" s="345">
        <v>0</v>
      </c>
      <c r="U245" s="345">
        <v>0</v>
      </c>
      <c r="V245" s="345">
        <v>0</v>
      </c>
      <c r="W245" s="345">
        <v>0</v>
      </c>
      <c r="X245" s="345">
        <v>0</v>
      </c>
      <c r="Y245" s="380">
        <v>0</v>
      </c>
      <c r="Z245" s="296">
        <f t="shared" si="101"/>
        <v>0</v>
      </c>
      <c r="AA245" s="298">
        <f t="shared" si="102"/>
        <v>0</v>
      </c>
      <c r="AB245" s="948">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49">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6">
        <f t="shared" si="103"/>
        <v>0</v>
      </c>
      <c r="AE245" s="1230">
        <f t="shared" si="96"/>
        <v>0</v>
      </c>
      <c r="AF245" s="1231">
        <f t="shared" si="97"/>
        <v>0</v>
      </c>
      <c r="AG245" s="1231">
        <f t="shared" si="98"/>
        <v>0</v>
      </c>
      <c r="AH245" s="1172">
        <f t="shared" si="104"/>
        <v>0</v>
      </c>
      <c r="AI245" s="1232">
        <f t="shared" si="105"/>
        <v>0</v>
      </c>
    </row>
    <row r="246" spans="1:35" ht="13.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99"/>
        <v>0</v>
      </c>
      <c r="N246" s="312">
        <f t="shared" si="100"/>
        <v>0</v>
      </c>
      <c r="O246" s="346">
        <v>0</v>
      </c>
      <c r="P246" s="347">
        <v>0</v>
      </c>
      <c r="Q246" s="347">
        <v>0</v>
      </c>
      <c r="R246" s="347">
        <v>0</v>
      </c>
      <c r="S246" s="347">
        <v>0</v>
      </c>
      <c r="T246" s="347">
        <v>0</v>
      </c>
      <c r="U246" s="347">
        <v>0</v>
      </c>
      <c r="V246" s="347">
        <v>0</v>
      </c>
      <c r="W246" s="347">
        <v>0</v>
      </c>
      <c r="X246" s="347">
        <v>0</v>
      </c>
      <c r="Y246" s="381">
        <v>0</v>
      </c>
      <c r="Z246" s="310">
        <f t="shared" si="101"/>
        <v>0</v>
      </c>
      <c r="AA246" s="312">
        <f t="shared" si="102"/>
        <v>0</v>
      </c>
      <c r="AB246" s="948">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49">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6">
        <f t="shared" si="103"/>
        <v>0</v>
      </c>
      <c r="AE246" s="1230">
        <f t="shared" si="96"/>
        <v>0</v>
      </c>
      <c r="AF246" s="1231">
        <f t="shared" si="97"/>
        <v>0</v>
      </c>
      <c r="AG246" s="1231">
        <f t="shared" si="98"/>
        <v>0</v>
      </c>
      <c r="AH246" s="1172">
        <f t="shared" si="104"/>
        <v>0</v>
      </c>
      <c r="AI246" s="1232">
        <f t="shared" si="105"/>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99"/>
        <v>0</v>
      </c>
      <c r="N247" s="284">
        <f t="shared" si="100"/>
        <v>0</v>
      </c>
      <c r="O247" s="342">
        <v>0</v>
      </c>
      <c r="P247" s="343">
        <v>0</v>
      </c>
      <c r="Q247" s="343">
        <v>0</v>
      </c>
      <c r="R247" s="343">
        <v>0</v>
      </c>
      <c r="S247" s="343">
        <v>0</v>
      </c>
      <c r="T247" s="343">
        <v>0</v>
      </c>
      <c r="U247" s="343">
        <v>0</v>
      </c>
      <c r="V247" s="343">
        <v>0</v>
      </c>
      <c r="W247" s="343">
        <v>0</v>
      </c>
      <c r="X247" s="343">
        <v>0</v>
      </c>
      <c r="Y247" s="379">
        <v>0</v>
      </c>
      <c r="Z247" s="282">
        <f t="shared" si="101"/>
        <v>0</v>
      </c>
      <c r="AA247" s="284">
        <f t="shared" si="102"/>
        <v>0</v>
      </c>
      <c r="AB247" s="948">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49">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6">
        <f t="shared" si="103"/>
        <v>0</v>
      </c>
      <c r="AE247" s="1230">
        <f t="shared" si="96"/>
        <v>0</v>
      </c>
      <c r="AF247" s="1231">
        <f t="shared" si="97"/>
        <v>0</v>
      </c>
      <c r="AG247" s="1231">
        <f t="shared" si="98"/>
        <v>0</v>
      </c>
      <c r="AH247" s="1172">
        <f t="shared" si="104"/>
        <v>0</v>
      </c>
      <c r="AI247" s="1232">
        <f t="shared" si="105"/>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99"/>
        <v>0</v>
      </c>
      <c r="N248" s="298">
        <f t="shared" si="100"/>
        <v>0</v>
      </c>
      <c r="O248" s="344">
        <v>0</v>
      </c>
      <c r="P248" s="345">
        <v>0</v>
      </c>
      <c r="Q248" s="345">
        <v>0</v>
      </c>
      <c r="R248" s="345">
        <v>0</v>
      </c>
      <c r="S248" s="345">
        <v>0</v>
      </c>
      <c r="T248" s="345">
        <v>0</v>
      </c>
      <c r="U248" s="345">
        <v>0</v>
      </c>
      <c r="V248" s="345">
        <v>0</v>
      </c>
      <c r="W248" s="345">
        <v>0</v>
      </c>
      <c r="X248" s="345">
        <v>0</v>
      </c>
      <c r="Y248" s="380">
        <v>0</v>
      </c>
      <c r="Z248" s="296">
        <f t="shared" si="101"/>
        <v>0</v>
      </c>
      <c r="AA248" s="298">
        <f t="shared" si="102"/>
        <v>0</v>
      </c>
      <c r="AB248" s="948">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49">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6">
        <f t="shared" si="103"/>
        <v>0</v>
      </c>
      <c r="AE248" s="1230">
        <f>SUMPRODUCT($B$74:$L$74,B248:L248)</f>
        <v>0</v>
      </c>
      <c r="AF248" s="1231">
        <f>SUMPRODUCT($O$74:$Y$74,O248:Y248)</f>
        <v>0</v>
      </c>
      <c r="AG248" s="1231">
        <f>SUM(AE248:AF248)</f>
        <v>0</v>
      </c>
      <c r="AH248" s="1172">
        <f t="shared" si="104"/>
        <v>0</v>
      </c>
      <c r="AI248" s="1232">
        <f t="shared" si="105"/>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99"/>
        <v>0</v>
      </c>
      <c r="N249" s="298">
        <f t="shared" si="100"/>
        <v>0</v>
      </c>
      <c r="O249" s="344">
        <v>0</v>
      </c>
      <c r="P249" s="345">
        <v>0</v>
      </c>
      <c r="Q249" s="345">
        <v>0</v>
      </c>
      <c r="R249" s="345">
        <v>0</v>
      </c>
      <c r="S249" s="345">
        <v>0</v>
      </c>
      <c r="T249" s="345">
        <v>0</v>
      </c>
      <c r="U249" s="345">
        <v>0</v>
      </c>
      <c r="V249" s="345">
        <v>0</v>
      </c>
      <c r="W249" s="345">
        <v>0</v>
      </c>
      <c r="X249" s="345">
        <v>0</v>
      </c>
      <c r="Y249" s="380">
        <v>0</v>
      </c>
      <c r="Z249" s="296">
        <f t="shared" si="101"/>
        <v>0</v>
      </c>
      <c r="AA249" s="298">
        <f t="shared" si="102"/>
        <v>0</v>
      </c>
      <c r="AB249" s="948">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49">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6">
        <f t="shared" si="103"/>
        <v>0</v>
      </c>
      <c r="AE249" s="1230">
        <f t="shared" ref="AE249:AE276" si="106">SUMPRODUCT($B$74:$L$74,B249:L249)</f>
        <v>0</v>
      </c>
      <c r="AF249" s="1231">
        <f t="shared" ref="AF249:AF276" si="107">SUMPRODUCT($O$74:$Y$74,O249:Y249)</f>
        <v>0</v>
      </c>
      <c r="AG249" s="1231">
        <f t="shared" ref="AG249:AG276" si="108">SUM(AE249:AF249)</f>
        <v>0</v>
      </c>
      <c r="AH249" s="1172">
        <f t="shared" si="104"/>
        <v>0</v>
      </c>
      <c r="AI249" s="1232">
        <f t="shared" si="105"/>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99"/>
        <v>0</v>
      </c>
      <c r="N250" s="298">
        <f t="shared" si="100"/>
        <v>0</v>
      </c>
      <c r="O250" s="344">
        <v>0</v>
      </c>
      <c r="P250" s="345">
        <v>0</v>
      </c>
      <c r="Q250" s="345">
        <v>0</v>
      </c>
      <c r="R250" s="345">
        <v>0</v>
      </c>
      <c r="S250" s="345">
        <v>0</v>
      </c>
      <c r="T250" s="345">
        <v>0</v>
      </c>
      <c r="U250" s="345">
        <v>0</v>
      </c>
      <c r="V250" s="345">
        <v>0</v>
      </c>
      <c r="W250" s="345">
        <v>0</v>
      </c>
      <c r="X250" s="345">
        <v>0</v>
      </c>
      <c r="Y250" s="380">
        <v>0</v>
      </c>
      <c r="Z250" s="296">
        <f t="shared" si="101"/>
        <v>0</v>
      </c>
      <c r="AA250" s="298">
        <f t="shared" si="102"/>
        <v>0</v>
      </c>
      <c r="AB250" s="948">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49">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6">
        <f t="shared" si="103"/>
        <v>0</v>
      </c>
      <c r="AE250" s="1230">
        <f t="shared" si="106"/>
        <v>0</v>
      </c>
      <c r="AF250" s="1231">
        <f t="shared" si="107"/>
        <v>0</v>
      </c>
      <c r="AG250" s="1231">
        <f t="shared" si="108"/>
        <v>0</v>
      </c>
      <c r="AH250" s="1172">
        <f t="shared" si="104"/>
        <v>0</v>
      </c>
      <c r="AI250" s="1232">
        <f t="shared" si="105"/>
        <v>0</v>
      </c>
    </row>
    <row r="251" spans="1:35" ht="13.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99"/>
        <v>0</v>
      </c>
      <c r="N251" s="312">
        <f t="shared" si="100"/>
        <v>0</v>
      </c>
      <c r="O251" s="346">
        <v>0</v>
      </c>
      <c r="P251" s="347">
        <v>0</v>
      </c>
      <c r="Q251" s="347">
        <v>0</v>
      </c>
      <c r="R251" s="347">
        <v>0</v>
      </c>
      <c r="S251" s="347">
        <v>0</v>
      </c>
      <c r="T251" s="347">
        <v>0</v>
      </c>
      <c r="U251" s="347">
        <v>0</v>
      </c>
      <c r="V251" s="347">
        <v>0</v>
      </c>
      <c r="W251" s="347">
        <v>0</v>
      </c>
      <c r="X251" s="347">
        <v>0</v>
      </c>
      <c r="Y251" s="381">
        <v>0</v>
      </c>
      <c r="Z251" s="310">
        <f t="shared" si="101"/>
        <v>0</v>
      </c>
      <c r="AA251" s="312">
        <f t="shared" si="102"/>
        <v>0</v>
      </c>
      <c r="AB251" s="948">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49">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v>
      </c>
      <c r="AD251" s="1226">
        <f t="shared" si="103"/>
        <v>0</v>
      </c>
      <c r="AE251" s="1230">
        <f t="shared" si="106"/>
        <v>0</v>
      </c>
      <c r="AF251" s="1231">
        <f t="shared" si="107"/>
        <v>0</v>
      </c>
      <c r="AG251" s="1231">
        <f t="shared" si="108"/>
        <v>0</v>
      </c>
      <c r="AH251" s="1172">
        <f t="shared" si="104"/>
        <v>0</v>
      </c>
      <c r="AI251" s="1232">
        <f t="shared" si="105"/>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99"/>
        <v>0</v>
      </c>
      <c r="N252" s="284">
        <f t="shared" si="100"/>
        <v>0</v>
      </c>
      <c r="O252" s="342">
        <v>0</v>
      </c>
      <c r="P252" s="343">
        <v>0</v>
      </c>
      <c r="Q252" s="343">
        <v>0</v>
      </c>
      <c r="R252" s="343">
        <v>0</v>
      </c>
      <c r="S252" s="343">
        <v>0</v>
      </c>
      <c r="T252" s="343">
        <v>0</v>
      </c>
      <c r="U252" s="343">
        <v>0</v>
      </c>
      <c r="V252" s="343">
        <v>0</v>
      </c>
      <c r="W252" s="343">
        <v>0</v>
      </c>
      <c r="X252" s="343">
        <v>0</v>
      </c>
      <c r="Y252" s="379">
        <v>0</v>
      </c>
      <c r="Z252" s="282">
        <f t="shared" si="101"/>
        <v>0</v>
      </c>
      <c r="AA252" s="284">
        <f t="shared" si="102"/>
        <v>0</v>
      </c>
      <c r="AB252" s="948">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v>
      </c>
      <c r="AC252" s="949">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v>
      </c>
      <c r="AD252" s="1226">
        <f t="shared" si="103"/>
        <v>0</v>
      </c>
      <c r="AE252" s="1230">
        <f t="shared" si="106"/>
        <v>0</v>
      </c>
      <c r="AF252" s="1231">
        <f t="shared" si="107"/>
        <v>0</v>
      </c>
      <c r="AG252" s="1231">
        <f t="shared" si="108"/>
        <v>0</v>
      </c>
      <c r="AH252" s="1172">
        <f t="shared" si="104"/>
        <v>0</v>
      </c>
      <c r="AI252" s="1232">
        <f t="shared" si="105"/>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99"/>
        <v>0</v>
      </c>
      <c r="N253" s="298">
        <f t="shared" si="100"/>
        <v>0</v>
      </c>
      <c r="O253" s="344">
        <v>0</v>
      </c>
      <c r="P253" s="345">
        <v>0</v>
      </c>
      <c r="Q253" s="345">
        <v>0</v>
      </c>
      <c r="R253" s="345">
        <v>0</v>
      </c>
      <c r="S253" s="345">
        <v>0</v>
      </c>
      <c r="T253" s="345">
        <v>0</v>
      </c>
      <c r="U253" s="345">
        <v>0</v>
      </c>
      <c r="V253" s="345">
        <v>0</v>
      </c>
      <c r="W253" s="345">
        <v>0</v>
      </c>
      <c r="X253" s="345">
        <v>0</v>
      </c>
      <c r="Y253" s="380">
        <v>0</v>
      </c>
      <c r="Z253" s="296">
        <f t="shared" si="101"/>
        <v>0</v>
      </c>
      <c r="AA253" s="298">
        <f t="shared" si="102"/>
        <v>0</v>
      </c>
      <c r="AB253" s="948">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v>
      </c>
      <c r="AC253" s="949">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v>
      </c>
      <c r="AD253" s="1226">
        <f t="shared" si="103"/>
        <v>0</v>
      </c>
      <c r="AE253" s="1230">
        <f t="shared" si="106"/>
        <v>0</v>
      </c>
      <c r="AF253" s="1231">
        <f t="shared" si="107"/>
        <v>0</v>
      </c>
      <c r="AG253" s="1231">
        <f t="shared" si="108"/>
        <v>0</v>
      </c>
      <c r="AH253" s="1172">
        <f t="shared" si="104"/>
        <v>0</v>
      </c>
      <c r="AI253" s="1232">
        <f t="shared" si="105"/>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99"/>
        <v>0</v>
      </c>
      <c r="N254" s="298">
        <f t="shared" si="100"/>
        <v>0</v>
      </c>
      <c r="O254" s="344">
        <v>0</v>
      </c>
      <c r="P254" s="345">
        <v>0</v>
      </c>
      <c r="Q254" s="345">
        <v>0</v>
      </c>
      <c r="R254" s="345">
        <v>0</v>
      </c>
      <c r="S254" s="345">
        <v>0</v>
      </c>
      <c r="T254" s="345">
        <v>0</v>
      </c>
      <c r="U254" s="345">
        <v>0</v>
      </c>
      <c r="V254" s="345">
        <v>0</v>
      </c>
      <c r="W254" s="345">
        <v>0</v>
      </c>
      <c r="X254" s="345">
        <v>0</v>
      </c>
      <c r="Y254" s="380">
        <v>4.2096133386113086E-5</v>
      </c>
      <c r="Z254" s="296">
        <f t="shared" si="101"/>
        <v>3.8298553516951584E-8</v>
      </c>
      <c r="AA254" s="298">
        <f t="shared" si="102"/>
        <v>4.6402564046394686E-9</v>
      </c>
      <c r="AB254" s="948">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v>
      </c>
      <c r="AC254" s="949">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v>
      </c>
      <c r="AD254" s="1226">
        <f t="shared" si="103"/>
        <v>0</v>
      </c>
      <c r="AE254" s="1230">
        <f t="shared" si="106"/>
        <v>0</v>
      </c>
      <c r="AF254" s="1231">
        <f t="shared" si="107"/>
        <v>3.8298553516951584E-8</v>
      </c>
      <c r="AG254" s="1231">
        <f t="shared" si="108"/>
        <v>3.8298553516951584E-8</v>
      </c>
      <c r="AH254" s="1172">
        <f t="shared" si="104"/>
        <v>0</v>
      </c>
      <c r="AI254" s="1232">
        <f t="shared" si="105"/>
        <v>1</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99"/>
        <v>0</v>
      </c>
      <c r="N255" s="298">
        <f t="shared" si="100"/>
        <v>0</v>
      </c>
      <c r="O255" s="344">
        <v>0</v>
      </c>
      <c r="P255" s="345">
        <v>0</v>
      </c>
      <c r="Q255" s="345">
        <v>0</v>
      </c>
      <c r="R255" s="345">
        <v>0</v>
      </c>
      <c r="S255" s="345">
        <v>0</v>
      </c>
      <c r="T255" s="345">
        <v>0</v>
      </c>
      <c r="U255" s="345">
        <v>0</v>
      </c>
      <c r="V255" s="345">
        <v>0</v>
      </c>
      <c r="W255" s="345">
        <v>2.5693381157872666E-5</v>
      </c>
      <c r="X255" s="345">
        <v>1.0721179553750474E-4</v>
      </c>
      <c r="Y255" s="380">
        <v>8.2652690759262135E-4</v>
      </c>
      <c r="Z255" s="296">
        <f t="shared" si="101"/>
        <v>8.3311663119520826E-7</v>
      </c>
      <c r="AA255" s="298">
        <f t="shared" si="102"/>
        <v>1.0369223073164987E-7</v>
      </c>
      <c r="AB255" s="948">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v>
      </c>
      <c r="AC255" s="949">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v>
      </c>
      <c r="AD255" s="1226">
        <f t="shared" si="103"/>
        <v>0</v>
      </c>
      <c r="AE255" s="1230">
        <f t="shared" si="106"/>
        <v>0</v>
      </c>
      <c r="AF255" s="1231">
        <f t="shared" si="107"/>
        <v>8.3311663119520826E-7</v>
      </c>
      <c r="AG255" s="1231">
        <f t="shared" si="108"/>
        <v>8.3311663119520826E-7</v>
      </c>
      <c r="AH255" s="1172">
        <f t="shared" si="104"/>
        <v>0</v>
      </c>
      <c r="AI255" s="1232">
        <f t="shared" si="105"/>
        <v>1</v>
      </c>
    </row>
    <row r="256" spans="1:35" ht="13.5" thickBot="1" x14ac:dyDescent="0.25">
      <c r="A256" s="328">
        <v>2030</v>
      </c>
      <c r="B256" s="346">
        <v>0</v>
      </c>
      <c r="C256" s="347">
        <v>0</v>
      </c>
      <c r="D256" s="347">
        <v>0</v>
      </c>
      <c r="E256" s="347">
        <v>0</v>
      </c>
      <c r="F256" s="347">
        <v>0</v>
      </c>
      <c r="G256" s="347">
        <v>0</v>
      </c>
      <c r="H256" s="347">
        <v>0</v>
      </c>
      <c r="I256" s="347">
        <v>0</v>
      </c>
      <c r="J256" s="347">
        <v>0</v>
      </c>
      <c r="K256" s="347">
        <v>1.0822211654068457E-4</v>
      </c>
      <c r="L256" s="381">
        <v>1.0822211654068457E-4</v>
      </c>
      <c r="M256" s="310">
        <f t="shared" si="99"/>
        <v>4.0153736349770385E-7</v>
      </c>
      <c r="N256" s="312">
        <f t="shared" si="100"/>
        <v>5.473159350727208E-8</v>
      </c>
      <c r="O256" s="346">
        <v>0</v>
      </c>
      <c r="P256" s="347">
        <v>0</v>
      </c>
      <c r="Q256" s="347">
        <v>0</v>
      </c>
      <c r="R256" s="347">
        <v>0</v>
      </c>
      <c r="S256" s="347">
        <v>0</v>
      </c>
      <c r="T256" s="347">
        <v>0</v>
      </c>
      <c r="U256" s="347">
        <v>0</v>
      </c>
      <c r="V256" s="347">
        <v>1.5997963189712654E-4</v>
      </c>
      <c r="W256" s="347">
        <v>1.0612420444390937E-3</v>
      </c>
      <c r="X256" s="347">
        <v>2.4423012414230955E-3</v>
      </c>
      <c r="Y256" s="381">
        <v>8.1969571525707108E-3</v>
      </c>
      <c r="Z256" s="310">
        <f t="shared" si="101"/>
        <v>1.4162087712803893E-5</v>
      </c>
      <c r="AA256" s="312">
        <f t="shared" si="102"/>
        <v>2.0241958948834217E-6</v>
      </c>
      <c r="AB256" s="948">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v>
      </c>
      <c r="AC256" s="949">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v>
      </c>
      <c r="AD256" s="1226">
        <f t="shared" si="103"/>
        <v>0</v>
      </c>
      <c r="AE256" s="1230">
        <f t="shared" si="106"/>
        <v>4.0153736349770385E-7</v>
      </c>
      <c r="AF256" s="1231">
        <f t="shared" si="107"/>
        <v>1.4162087712803893E-5</v>
      </c>
      <c r="AG256" s="1231">
        <f t="shared" si="108"/>
        <v>1.4563625076301596E-5</v>
      </c>
      <c r="AH256" s="1172">
        <f t="shared" si="104"/>
        <v>2.7571251072035525E-2</v>
      </c>
      <c r="AI256" s="1232">
        <f t="shared" si="105"/>
        <v>0.97242874892796449</v>
      </c>
    </row>
    <row r="257" spans="1:35" x14ac:dyDescent="0.2">
      <c r="A257" s="329">
        <v>2031</v>
      </c>
      <c r="B257" s="342">
        <v>0</v>
      </c>
      <c r="C257" s="343">
        <v>0</v>
      </c>
      <c r="D257" s="343">
        <v>0</v>
      </c>
      <c r="E257" s="343">
        <v>0</v>
      </c>
      <c r="F257" s="343">
        <v>0</v>
      </c>
      <c r="G257" s="343">
        <v>0</v>
      </c>
      <c r="H257" s="343">
        <v>0</v>
      </c>
      <c r="I257" s="343">
        <v>0</v>
      </c>
      <c r="J257" s="343">
        <v>1.5537437338628186E-4</v>
      </c>
      <c r="K257" s="343">
        <v>1.6562840896553845E-3</v>
      </c>
      <c r="L257" s="379">
        <v>1.6562840896553845E-3</v>
      </c>
      <c r="M257" s="282">
        <f t="shared" si="99"/>
        <v>6.1453237824395884E-6</v>
      </c>
      <c r="N257" s="284">
        <f t="shared" si="100"/>
        <v>8.3763901894768165E-7</v>
      </c>
      <c r="O257" s="342">
        <v>0</v>
      </c>
      <c r="P257" s="343">
        <v>0</v>
      </c>
      <c r="Q257" s="343">
        <v>0</v>
      </c>
      <c r="R257" s="343">
        <v>0</v>
      </c>
      <c r="S257" s="343">
        <v>0</v>
      </c>
      <c r="T257" s="343">
        <v>0</v>
      </c>
      <c r="U257" s="343">
        <v>1.7615614191085461E-4</v>
      </c>
      <c r="V257" s="343">
        <v>1.6441933847213674E-3</v>
      </c>
      <c r="W257" s="343">
        <v>6.1748671139842982E-3</v>
      </c>
      <c r="X257" s="343">
        <v>1.0824340435470462E-2</v>
      </c>
      <c r="Y257" s="379">
        <v>2.3249989714574756E-2</v>
      </c>
      <c r="Z257" s="282">
        <f t="shared" si="101"/>
        <v>7.8759390492588754E-5</v>
      </c>
      <c r="AA257" s="284">
        <f t="shared" si="102"/>
        <v>1.252786521292069E-5</v>
      </c>
      <c r="AB257" s="948">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v>
      </c>
      <c r="AC257" s="949">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v>
      </c>
      <c r="AD257" s="1226">
        <f t="shared" si="103"/>
        <v>0</v>
      </c>
      <c r="AE257" s="1230">
        <f t="shared" si="106"/>
        <v>6.1453237824395884E-6</v>
      </c>
      <c r="AF257" s="1231">
        <f t="shared" si="107"/>
        <v>7.8759390492588754E-5</v>
      </c>
      <c r="AG257" s="1231">
        <f t="shared" si="108"/>
        <v>8.4904714275028337E-5</v>
      </c>
      <c r="AH257" s="1172">
        <f t="shared" si="104"/>
        <v>7.2379064400750412E-2</v>
      </c>
      <c r="AI257" s="1232">
        <f t="shared" si="105"/>
        <v>0.92762093559924963</v>
      </c>
    </row>
    <row r="258" spans="1:35" x14ac:dyDescent="0.2">
      <c r="A258" s="330">
        <v>2032</v>
      </c>
      <c r="B258" s="344">
        <v>0</v>
      </c>
      <c r="C258" s="345">
        <v>0</v>
      </c>
      <c r="D258" s="345">
        <v>0</v>
      </c>
      <c r="E258" s="345">
        <v>0</v>
      </c>
      <c r="F258" s="345">
        <v>0</v>
      </c>
      <c r="G258" s="345">
        <v>0</v>
      </c>
      <c r="H258" s="345">
        <v>6.0435116668705045E-5</v>
      </c>
      <c r="I258" s="345">
        <v>4.1934155778964162E-4</v>
      </c>
      <c r="J258" s="345">
        <v>1.8961525717354755E-3</v>
      </c>
      <c r="K258" s="345">
        <v>7.7567036019601712E-3</v>
      </c>
      <c r="L258" s="380">
        <v>7.7567036019601712E-3</v>
      </c>
      <c r="M258" s="296">
        <f t="shared" si="99"/>
        <v>2.9674053872222564E-5</v>
      </c>
      <c r="N258" s="298">
        <f t="shared" si="100"/>
        <v>4.1033095965386543E-6</v>
      </c>
      <c r="O258" s="344">
        <v>0</v>
      </c>
      <c r="P258" s="345">
        <v>0</v>
      </c>
      <c r="Q258" s="345">
        <v>0</v>
      </c>
      <c r="R258" s="345">
        <v>0</v>
      </c>
      <c r="S258" s="345">
        <v>0</v>
      </c>
      <c r="T258" s="345">
        <v>6.642510343908312E-5</v>
      </c>
      <c r="U258" s="345">
        <v>1.3954782380834229E-3</v>
      </c>
      <c r="V258" s="345">
        <v>7.0549081672195077E-3</v>
      </c>
      <c r="W258" s="345">
        <v>1.6771362914950273E-2</v>
      </c>
      <c r="X258" s="345">
        <v>2.4083503003231463E-2</v>
      </c>
      <c r="Y258" s="380">
        <v>4.2317385834548561E-2</v>
      </c>
      <c r="Z258" s="296">
        <f t="shared" si="101"/>
        <v>2.6888247695886278E-4</v>
      </c>
      <c r="AA258" s="298">
        <f t="shared" si="102"/>
        <v>4.5611092522724455E-5</v>
      </c>
      <c r="AB258" s="948">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v>
      </c>
      <c r="AC258" s="949">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v>
      </c>
      <c r="AD258" s="1226">
        <f t="shared" si="103"/>
        <v>0</v>
      </c>
      <c r="AE258" s="1230">
        <f t="shared" si="106"/>
        <v>2.9674053872222564E-5</v>
      </c>
      <c r="AF258" s="1231">
        <f t="shared" si="107"/>
        <v>2.6888247695886278E-4</v>
      </c>
      <c r="AG258" s="1231">
        <f t="shared" si="108"/>
        <v>2.9855653083108537E-4</v>
      </c>
      <c r="AH258" s="1172">
        <f t="shared" si="104"/>
        <v>9.9391742627835136E-2</v>
      </c>
      <c r="AI258" s="1232">
        <f t="shared" si="105"/>
        <v>0.90060825737216477</v>
      </c>
    </row>
    <row r="259" spans="1:35" x14ac:dyDescent="0.2">
      <c r="A259" s="330">
        <v>2033</v>
      </c>
      <c r="B259" s="344">
        <v>0</v>
      </c>
      <c r="C259" s="345">
        <v>0</v>
      </c>
      <c r="D259" s="345">
        <v>0</v>
      </c>
      <c r="E259" s="345">
        <v>0</v>
      </c>
      <c r="F259" s="345">
        <v>0</v>
      </c>
      <c r="G259" s="345">
        <v>0</v>
      </c>
      <c r="H259" s="345">
        <v>1.0818683245900609E-3</v>
      </c>
      <c r="I259" s="345">
        <v>3.4375866114553545E-3</v>
      </c>
      <c r="J259" s="345">
        <v>1.0416612166839334E-2</v>
      </c>
      <c r="K259" s="345">
        <v>2.3292008134208113E-2</v>
      </c>
      <c r="L259" s="380">
        <v>2.3292008134208113E-2</v>
      </c>
      <c r="M259" s="296">
        <f t="shared" si="99"/>
        <v>1.0242959729634825E-4</v>
      </c>
      <c r="N259" s="298">
        <f t="shared" si="100"/>
        <v>1.5010416988155697E-5</v>
      </c>
      <c r="O259" s="344">
        <v>0</v>
      </c>
      <c r="P259" s="345">
        <v>0</v>
      </c>
      <c r="Q259" s="345">
        <v>0</v>
      </c>
      <c r="R259" s="345">
        <v>0</v>
      </c>
      <c r="S259" s="345">
        <v>0</v>
      </c>
      <c r="T259" s="345">
        <v>8.5346581438677251E-4</v>
      </c>
      <c r="U259" s="345">
        <v>6.330352736492891E-3</v>
      </c>
      <c r="V259" s="345">
        <v>1.937043478053474E-2</v>
      </c>
      <c r="W259" s="345">
        <v>3.5958641690608223E-2</v>
      </c>
      <c r="X259" s="345">
        <v>4.5151543800263719E-2</v>
      </c>
      <c r="Y259" s="380">
        <v>6.5105769561363061E-2</v>
      </c>
      <c r="Z259" s="296">
        <f t="shared" si="101"/>
        <v>7.1846576745154865E-4</v>
      </c>
      <c r="AA259" s="298">
        <f t="shared" si="102"/>
        <v>1.2725727533711965E-4</v>
      </c>
      <c r="AB259" s="948">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v>
      </c>
      <c r="AC259" s="949">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v>
      </c>
      <c r="AD259" s="1226">
        <f>AB259*AH259+AC259*AI259</f>
        <v>0</v>
      </c>
      <c r="AE259" s="1230">
        <f t="shared" si="106"/>
        <v>1.0242959729634825E-4</v>
      </c>
      <c r="AF259" s="1231">
        <f t="shared" si="107"/>
        <v>7.1846576745154865E-4</v>
      </c>
      <c r="AG259" s="1231">
        <f t="shared" si="108"/>
        <v>8.208953647478969E-4</v>
      </c>
      <c r="AH259" s="1172">
        <f t="shared" si="104"/>
        <v>0.12477789703174307</v>
      </c>
      <c r="AI259" s="1232">
        <f t="shared" si="105"/>
        <v>0.87522210296825698</v>
      </c>
    </row>
    <row r="260" spans="1:35" x14ac:dyDescent="0.2">
      <c r="A260" s="330">
        <v>2034</v>
      </c>
      <c r="B260" s="344">
        <v>0</v>
      </c>
      <c r="C260" s="345">
        <v>0</v>
      </c>
      <c r="D260" s="345">
        <v>0</v>
      </c>
      <c r="E260" s="345">
        <v>0</v>
      </c>
      <c r="F260" s="345">
        <v>0</v>
      </c>
      <c r="G260" s="345">
        <v>7.4252372098075124E-5</v>
      </c>
      <c r="H260" s="345">
        <v>3.9111171711568148E-3</v>
      </c>
      <c r="I260" s="345">
        <v>9.5568355067740442E-3</v>
      </c>
      <c r="J260" s="345">
        <v>2.0444483093487183E-2</v>
      </c>
      <c r="K260" s="345">
        <v>4.1006855317467492E-2</v>
      </c>
      <c r="L260" s="380">
        <v>4.1006855317467492E-2</v>
      </c>
      <c r="M260" s="296">
        <f t="shared" si="99"/>
        <v>2.1005967491635446E-4</v>
      </c>
      <c r="N260" s="298">
        <f t="shared" si="100"/>
        <v>3.2428302333698965E-5</v>
      </c>
      <c r="O260" s="344">
        <v>0</v>
      </c>
      <c r="P260" s="345">
        <v>0</v>
      </c>
      <c r="Q260" s="345">
        <v>0</v>
      </c>
      <c r="R260" s="345">
        <v>0</v>
      </c>
      <c r="S260" s="345">
        <v>1.5878441345239285E-4</v>
      </c>
      <c r="T260" s="345">
        <v>2.6744281008247682E-3</v>
      </c>
      <c r="U260" s="345">
        <v>1.4584955984832001E-2</v>
      </c>
      <c r="V260" s="345">
        <v>3.2147035766603563E-2</v>
      </c>
      <c r="W260" s="345">
        <v>5.1684833292045415E-2</v>
      </c>
      <c r="X260" s="345">
        <v>6.2360184835449493E-2</v>
      </c>
      <c r="Y260" s="380">
        <v>8.5751756147336045E-2</v>
      </c>
      <c r="Z260" s="296">
        <f t="shared" si="101"/>
        <v>1.246666343906855E-3</v>
      </c>
      <c r="AA260" s="298">
        <f t="shared" si="102"/>
        <v>2.2661576999803836E-4</v>
      </c>
      <c r="AB260" s="948">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v>
      </c>
      <c r="AC260" s="949">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v>
      </c>
      <c r="AD260" s="1226">
        <f t="shared" ref="AD260:AD276" si="109">AB260*AH260+AC260*AI260</f>
        <v>0</v>
      </c>
      <c r="AE260" s="1230">
        <f t="shared" si="106"/>
        <v>2.1005967491635446E-4</v>
      </c>
      <c r="AF260" s="1231">
        <f t="shared" si="107"/>
        <v>1.246666343906855E-3</v>
      </c>
      <c r="AG260" s="1231">
        <f t="shared" si="108"/>
        <v>1.4567260188232095E-3</v>
      </c>
      <c r="AH260" s="1172">
        <f t="shared" si="104"/>
        <v>0.14419985103722352</v>
      </c>
      <c r="AI260" s="1232">
        <f t="shared" si="105"/>
        <v>0.85580014896277656</v>
      </c>
    </row>
    <row r="261" spans="1:35" ht="13.5" thickBot="1" x14ac:dyDescent="0.25">
      <c r="A261" s="328">
        <v>2035</v>
      </c>
      <c r="B261" s="346">
        <v>0</v>
      </c>
      <c r="C261" s="347">
        <v>0</v>
      </c>
      <c r="D261" s="347">
        <v>0</v>
      </c>
      <c r="E261" s="347">
        <v>0</v>
      </c>
      <c r="F261" s="347">
        <v>0</v>
      </c>
      <c r="G261" s="347">
        <v>4.6901531991908209E-4</v>
      </c>
      <c r="H261" s="347">
        <v>1.0638895894922571E-2</v>
      </c>
      <c r="I261" s="347">
        <v>2.1078574304575323E-2</v>
      </c>
      <c r="J261" s="347">
        <v>3.7344330375076909E-2</v>
      </c>
      <c r="K261" s="347">
        <v>6.2662131236548402E-2</v>
      </c>
      <c r="L261" s="381">
        <v>6.2662131236548402E-2</v>
      </c>
      <c r="M261" s="310">
        <f t="shared" si="99"/>
        <v>3.9015599753059409E-4</v>
      </c>
      <c r="N261" s="312">
        <f t="shared" si="100"/>
        <v>6.352333275777417E-5</v>
      </c>
      <c r="O261" s="346">
        <v>0</v>
      </c>
      <c r="P261" s="347">
        <v>0</v>
      </c>
      <c r="Q261" s="347">
        <v>0</v>
      </c>
      <c r="R261" s="347">
        <v>0</v>
      </c>
      <c r="S261" s="347">
        <v>6.6018385819726938E-4</v>
      </c>
      <c r="T261" s="347">
        <v>6.4745319228452719E-3</v>
      </c>
      <c r="U261" s="347">
        <v>2.7214798923312508E-2</v>
      </c>
      <c r="V261" s="347">
        <v>5.1073168406207708E-2</v>
      </c>
      <c r="W261" s="347">
        <v>7.6574183042216637E-2</v>
      </c>
      <c r="X261" s="347">
        <v>8.4251673800859461E-2</v>
      </c>
      <c r="Y261" s="381">
        <v>0.10518846630928096</v>
      </c>
      <c r="Z261" s="310">
        <f t="shared" si="101"/>
        <v>2.0478942378325126E-3</v>
      </c>
      <c r="AA261" s="312">
        <f t="shared" si="102"/>
        <v>3.7931063116798669E-4</v>
      </c>
      <c r="AB261" s="948">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v>
      </c>
      <c r="AC261" s="949">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v>
      </c>
      <c r="AD261" s="1226">
        <f t="shared" si="109"/>
        <v>0</v>
      </c>
      <c r="AE261" s="1230">
        <f t="shared" si="106"/>
        <v>3.9015599753059409E-4</v>
      </c>
      <c r="AF261" s="1231">
        <f t="shared" si="107"/>
        <v>2.0478942378325126E-3</v>
      </c>
      <c r="AG261" s="1231">
        <f t="shared" si="108"/>
        <v>2.4380502353631068E-3</v>
      </c>
      <c r="AH261" s="1172">
        <f t="shared" si="104"/>
        <v>0.16002787468096893</v>
      </c>
      <c r="AI261" s="1232">
        <f t="shared" si="105"/>
        <v>0.83997212531903098</v>
      </c>
    </row>
    <row r="262" spans="1:35" x14ac:dyDescent="0.2">
      <c r="A262" s="329">
        <v>2036</v>
      </c>
      <c r="B262" s="342">
        <v>0</v>
      </c>
      <c r="C262" s="343">
        <v>0</v>
      </c>
      <c r="D262" s="343">
        <v>0</v>
      </c>
      <c r="E262" s="343">
        <v>0</v>
      </c>
      <c r="F262" s="343">
        <v>3.3299383862517328E-4</v>
      </c>
      <c r="G262" s="343">
        <v>3.0370022512707382E-3</v>
      </c>
      <c r="H262" s="343">
        <v>2.2454256586716372E-2</v>
      </c>
      <c r="I262" s="343">
        <v>3.5240746706376017E-2</v>
      </c>
      <c r="J262" s="343">
        <v>5.0753162865333781E-2</v>
      </c>
      <c r="K262" s="343">
        <v>7.3522060507489329E-2</v>
      </c>
      <c r="L262" s="379">
        <v>7.3522060507489329E-2</v>
      </c>
      <c r="M262" s="282">
        <f t="shared" si="99"/>
        <v>6.1354577278939027E-4</v>
      </c>
      <c r="N262" s="284">
        <f t="shared" si="100"/>
        <v>1.068221517965811E-4</v>
      </c>
      <c r="O262" s="342">
        <v>0</v>
      </c>
      <c r="P262" s="343">
        <v>0</v>
      </c>
      <c r="Q262" s="343">
        <v>0</v>
      </c>
      <c r="R262" s="343">
        <v>1.6674745816246597E-4</v>
      </c>
      <c r="S262" s="343">
        <v>3.1647934418369203E-3</v>
      </c>
      <c r="T262" s="343">
        <v>1.6054833663247933E-2</v>
      </c>
      <c r="U262" s="343">
        <v>4.1030164759747821E-2</v>
      </c>
      <c r="V262" s="343">
        <v>6.200954907497349E-2</v>
      </c>
      <c r="W262" s="343">
        <v>8.15820478915842E-2</v>
      </c>
      <c r="X262" s="343">
        <v>8.8825936780652537E-2</v>
      </c>
      <c r="Y262" s="379">
        <v>0.10443272365801101</v>
      </c>
      <c r="Z262" s="282">
        <f t="shared" si="101"/>
        <v>2.7266750373490119E-3</v>
      </c>
      <c r="AA262" s="284">
        <f t="shared" si="102"/>
        <v>5.2416356213213773E-4</v>
      </c>
      <c r="AB262" s="948">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v>
      </c>
      <c r="AC262" s="949">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v>
      </c>
      <c r="AD262" s="1226">
        <f t="shared" si="109"/>
        <v>0</v>
      </c>
      <c r="AE262" s="1230">
        <f t="shared" si="106"/>
        <v>6.1354577278939027E-4</v>
      </c>
      <c r="AF262" s="1231">
        <f t="shared" si="107"/>
        <v>2.7266750373490119E-3</v>
      </c>
      <c r="AG262" s="1231">
        <f t="shared" si="108"/>
        <v>3.3402208101384022E-3</v>
      </c>
      <c r="AH262" s="1172">
        <f t="shared" si="104"/>
        <v>0.18368419564572677</v>
      </c>
      <c r="AI262" s="1232">
        <f t="shared" si="105"/>
        <v>0.8163158043542732</v>
      </c>
    </row>
    <row r="263" spans="1:35" x14ac:dyDescent="0.2">
      <c r="A263" s="330">
        <v>2037</v>
      </c>
      <c r="B263" s="344">
        <v>0</v>
      </c>
      <c r="C263" s="345">
        <v>0</v>
      </c>
      <c r="D263" s="345">
        <v>0</v>
      </c>
      <c r="E263" s="345">
        <v>0</v>
      </c>
      <c r="F263" s="345">
        <v>1.4063524726164742E-3</v>
      </c>
      <c r="G263" s="345">
        <v>7.3290485890888761E-3</v>
      </c>
      <c r="H263" s="345">
        <v>3.4034928869512995E-2</v>
      </c>
      <c r="I263" s="345">
        <v>4.5985561381847478E-2</v>
      </c>
      <c r="J263" s="345">
        <v>6.4377308947578607E-2</v>
      </c>
      <c r="K263" s="345">
        <v>8.4900641480684991E-2</v>
      </c>
      <c r="L263" s="380">
        <v>8.4900641480684991E-2</v>
      </c>
      <c r="M263" s="296">
        <f t="shared" si="99"/>
        <v>8.5179186786781816E-4</v>
      </c>
      <c r="N263" s="298">
        <f t="shared" si="100"/>
        <v>1.5476787811104337E-4</v>
      </c>
      <c r="O263" s="344">
        <v>0</v>
      </c>
      <c r="P263" s="345">
        <v>0</v>
      </c>
      <c r="Q263" s="345">
        <v>0</v>
      </c>
      <c r="R263" s="345">
        <v>7.9247161116962814E-4</v>
      </c>
      <c r="S263" s="345">
        <v>6.8323949219509612E-3</v>
      </c>
      <c r="T263" s="345">
        <v>2.5173356292801694E-2</v>
      </c>
      <c r="U263" s="345">
        <v>4.7890727590222747E-2</v>
      </c>
      <c r="V263" s="345">
        <v>7.1793582231842346E-2</v>
      </c>
      <c r="W263" s="345">
        <v>8.782734665571873E-2</v>
      </c>
      <c r="X263" s="345">
        <v>9.5065224850877983E-2</v>
      </c>
      <c r="Y263" s="380">
        <v>0.11051320123207609</v>
      </c>
      <c r="Z263" s="296">
        <f t="shared" si="101"/>
        <v>3.2893301437818601E-3</v>
      </c>
      <c r="AA263" s="298">
        <f t="shared" si="102"/>
        <v>6.5100123279281889E-4</v>
      </c>
      <c r="AB263" s="948">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v>
      </c>
      <c r="AC263" s="949">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v>
      </c>
      <c r="AD263" s="1226">
        <f t="shared" si="109"/>
        <v>0</v>
      </c>
      <c r="AE263" s="1230">
        <f t="shared" si="106"/>
        <v>8.5179186786781816E-4</v>
      </c>
      <c r="AF263" s="1231">
        <f t="shared" si="107"/>
        <v>3.2893301437818601E-3</v>
      </c>
      <c r="AG263" s="1231">
        <f t="shared" si="108"/>
        <v>4.1411220116496783E-3</v>
      </c>
      <c r="AH263" s="1172">
        <f t="shared" si="104"/>
        <v>0.20569108214430371</v>
      </c>
      <c r="AI263" s="1232">
        <f t="shared" si="105"/>
        <v>0.79430891785569635</v>
      </c>
    </row>
    <row r="264" spans="1:35" x14ac:dyDescent="0.2">
      <c r="A264" s="330">
        <v>2038</v>
      </c>
      <c r="B264" s="344">
        <v>0</v>
      </c>
      <c r="C264" s="345">
        <v>0</v>
      </c>
      <c r="D264" s="345">
        <v>0</v>
      </c>
      <c r="E264" s="345">
        <v>3.7716304737539524E-4</v>
      </c>
      <c r="F264" s="345">
        <v>4.7266084357823358E-3</v>
      </c>
      <c r="G264" s="345">
        <v>1.5212333697631251E-2</v>
      </c>
      <c r="H264" s="345">
        <v>4.8160203938233379E-2</v>
      </c>
      <c r="I264" s="345">
        <v>6.346975974177349E-2</v>
      </c>
      <c r="J264" s="345">
        <v>8.0502985514607522E-2</v>
      </c>
      <c r="K264" s="345">
        <v>9.8309818864053877E-2</v>
      </c>
      <c r="L264" s="380">
        <v>9.8309818864053877E-2</v>
      </c>
      <c r="M264" s="296">
        <f t="shared" si="99"/>
        <v>1.2013147670804677E-3</v>
      </c>
      <c r="N264" s="298">
        <f t="shared" si="100"/>
        <v>2.3315667757066954E-4</v>
      </c>
      <c r="O264" s="344">
        <v>0</v>
      </c>
      <c r="P264" s="345">
        <v>0</v>
      </c>
      <c r="Q264" s="345">
        <v>0</v>
      </c>
      <c r="R264" s="345">
        <v>2.520359831310901E-3</v>
      </c>
      <c r="S264" s="345">
        <v>1.4408616145902879E-2</v>
      </c>
      <c r="T264" s="345">
        <v>3.399316097071825E-2</v>
      </c>
      <c r="U264" s="345">
        <v>6.1043603880372346E-2</v>
      </c>
      <c r="V264" s="345">
        <v>8.1714909977935707E-2</v>
      </c>
      <c r="W264" s="345">
        <v>9.9551993262216532E-2</v>
      </c>
      <c r="X264" s="345">
        <v>0.10833413104368721</v>
      </c>
      <c r="Y264" s="380">
        <v>0.12026379394504469</v>
      </c>
      <c r="Z264" s="296">
        <f t="shared" si="101"/>
        <v>4.1328343087150303E-3</v>
      </c>
      <c r="AA264" s="298">
        <f t="shared" si="102"/>
        <v>8.5296946871548512E-4</v>
      </c>
      <c r="AB264" s="948">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v>
      </c>
      <c r="AC264" s="949">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v>
      </c>
      <c r="AD264" s="1226">
        <f t="shared" si="109"/>
        <v>0</v>
      </c>
      <c r="AE264" s="1230">
        <f t="shared" si="106"/>
        <v>1.2013147670804677E-3</v>
      </c>
      <c r="AF264" s="1231">
        <f t="shared" si="107"/>
        <v>4.1328343087150303E-3</v>
      </c>
      <c r="AG264" s="1231">
        <f t="shared" si="108"/>
        <v>5.3341490757954982E-3</v>
      </c>
      <c r="AH264" s="1172">
        <f t="shared" si="104"/>
        <v>0.22521207225565062</v>
      </c>
      <c r="AI264" s="1232">
        <f t="shared" si="105"/>
        <v>0.77478792774434935</v>
      </c>
    </row>
    <row r="265" spans="1:35" x14ac:dyDescent="0.2">
      <c r="A265" s="330">
        <v>2039</v>
      </c>
      <c r="B265" s="344">
        <v>0</v>
      </c>
      <c r="C265" s="345">
        <v>0</v>
      </c>
      <c r="D265" s="345">
        <v>0</v>
      </c>
      <c r="E265" s="345">
        <v>1.9378776812531654E-3</v>
      </c>
      <c r="F265" s="345">
        <v>1.174461068493101E-2</v>
      </c>
      <c r="G265" s="345">
        <v>2.6843266454723593E-2</v>
      </c>
      <c r="H265" s="345">
        <v>6.4264672851057136E-2</v>
      </c>
      <c r="I265" s="345">
        <v>8.2972827607684041E-2</v>
      </c>
      <c r="J265" s="345">
        <v>9.6556368289715172E-2</v>
      </c>
      <c r="K265" s="345">
        <v>0.11535911056457032</v>
      </c>
      <c r="L265" s="380">
        <v>0.11535911056457032</v>
      </c>
      <c r="M265" s="296">
        <f t="shared" si="99"/>
        <v>1.726862765003824E-3</v>
      </c>
      <c r="N265" s="298">
        <f t="shared" si="100"/>
        <v>3.6476498715346802E-4</v>
      </c>
      <c r="O265" s="344">
        <v>0</v>
      </c>
      <c r="P265" s="345">
        <v>0</v>
      </c>
      <c r="Q265" s="345">
        <v>0</v>
      </c>
      <c r="R265" s="345">
        <v>6.7998198028522408E-3</v>
      </c>
      <c r="S265" s="345">
        <v>2.5194912793858184E-2</v>
      </c>
      <c r="T265" s="345">
        <v>4.9312036409720095E-2</v>
      </c>
      <c r="U265" s="345">
        <v>7.8906199214737655E-2</v>
      </c>
      <c r="V265" s="345">
        <v>9.7535208063710216E-2</v>
      </c>
      <c r="W265" s="345">
        <v>0.11617121686740538</v>
      </c>
      <c r="X265" s="345">
        <v>0.12111202305028264</v>
      </c>
      <c r="Y265" s="380">
        <v>0.13338679026375591</v>
      </c>
      <c r="Z265" s="296">
        <f t="shared" si="101"/>
        <v>5.4874321277694664E-3</v>
      </c>
      <c r="AA265" s="298">
        <f t="shared" si="102"/>
        <v>1.1916258375065626E-3</v>
      </c>
      <c r="AB265" s="948">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v>
      </c>
      <c r="AC265" s="949">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v>
      </c>
      <c r="AD265" s="1226">
        <f t="shared" si="109"/>
        <v>0</v>
      </c>
      <c r="AE265" s="1230">
        <f t="shared" si="106"/>
        <v>1.726862765003824E-3</v>
      </c>
      <c r="AF265" s="1231">
        <f t="shared" si="107"/>
        <v>5.4874321277694664E-3</v>
      </c>
      <c r="AG265" s="1231">
        <f t="shared" si="108"/>
        <v>7.2142948927732906E-3</v>
      </c>
      <c r="AH265" s="1172">
        <f t="shared" si="104"/>
        <v>0.23936681140296306</v>
      </c>
      <c r="AI265" s="1232">
        <f t="shared" si="105"/>
        <v>0.76063318859703688</v>
      </c>
    </row>
    <row r="266" spans="1:35" ht="13.5" thickBot="1" x14ac:dyDescent="0.25">
      <c r="A266" s="328">
        <v>2040</v>
      </c>
      <c r="B266" s="346">
        <v>0</v>
      </c>
      <c r="C266" s="347">
        <v>0</v>
      </c>
      <c r="D266" s="347">
        <v>0</v>
      </c>
      <c r="E266" s="347">
        <v>5.6221067979899519E-3</v>
      </c>
      <c r="F266" s="347">
        <v>2.2198606317453188E-2</v>
      </c>
      <c r="G266" s="347">
        <v>4.643669431199135E-2</v>
      </c>
      <c r="H266" s="347">
        <v>8.7221332515183145E-2</v>
      </c>
      <c r="I266" s="347">
        <v>0.10287850903362525</v>
      </c>
      <c r="J266" s="347">
        <v>0.11865162940031582</v>
      </c>
      <c r="K266" s="347">
        <v>0.13452981760583654</v>
      </c>
      <c r="L266" s="381">
        <v>0.13452981760583654</v>
      </c>
      <c r="M266" s="310">
        <f t="shared" si="99"/>
        <v>2.5341074237691984E-3</v>
      </c>
      <c r="N266" s="312">
        <f t="shared" si="100"/>
        <v>5.7865282646673048E-4</v>
      </c>
      <c r="O266" s="346">
        <v>0</v>
      </c>
      <c r="P266" s="347">
        <v>0</v>
      </c>
      <c r="Q266" s="347">
        <v>2.8760581861233072E-4</v>
      </c>
      <c r="R266" s="347">
        <v>1.4994712556355629E-2</v>
      </c>
      <c r="S266" s="347">
        <v>3.9461070209725377E-2</v>
      </c>
      <c r="T266" s="347">
        <v>6.8057486851968593E-2</v>
      </c>
      <c r="U266" s="347">
        <v>9.809757457724505E-2</v>
      </c>
      <c r="V266" s="347">
        <v>0.11865162940031582</v>
      </c>
      <c r="W266" s="347">
        <v>0.13452981760583654</v>
      </c>
      <c r="X266" s="347">
        <v>0.13944753870449009</v>
      </c>
      <c r="Y266" s="381">
        <v>0.15308350520103534</v>
      </c>
      <c r="Z266" s="310">
        <f t="shared" si="101"/>
        <v>7.3423738906182191E-3</v>
      </c>
      <c r="AA266" s="312">
        <f t="shared" si="102"/>
        <v>1.6866846475984615E-3</v>
      </c>
      <c r="AB266" s="948">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v>
      </c>
      <c r="AC266" s="949">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v>
      </c>
      <c r="AD266" s="1226">
        <f t="shared" si="109"/>
        <v>0</v>
      </c>
      <c r="AE266" s="1230">
        <f t="shared" si="106"/>
        <v>2.5341074237691984E-3</v>
      </c>
      <c r="AF266" s="1231">
        <f t="shared" si="107"/>
        <v>7.3423738906182191E-3</v>
      </c>
      <c r="AG266" s="1231">
        <f t="shared" si="108"/>
        <v>9.8764813143874183E-3</v>
      </c>
      <c r="AH266" s="1172">
        <f t="shared" si="104"/>
        <v>0.25657998462242571</v>
      </c>
      <c r="AI266" s="1232">
        <f t="shared" si="105"/>
        <v>0.74342001537757418</v>
      </c>
    </row>
    <row r="267" spans="1:35" x14ac:dyDescent="0.2">
      <c r="A267" s="329">
        <v>2041</v>
      </c>
      <c r="B267" s="342">
        <v>0</v>
      </c>
      <c r="C267" s="343">
        <v>0</v>
      </c>
      <c r="D267" s="343">
        <v>4.7084879486971915E-4</v>
      </c>
      <c r="E267" s="343">
        <v>1.9453752720474088E-2</v>
      </c>
      <c r="F267" s="343">
        <v>5.0210518117578005E-2</v>
      </c>
      <c r="G267" s="343">
        <v>7.3774116138967658E-2</v>
      </c>
      <c r="H267" s="343">
        <v>0.11940510043438149</v>
      </c>
      <c r="I267" s="343">
        <v>0.13735042599270392</v>
      </c>
      <c r="J267" s="343">
        <v>0.14859579690617611</v>
      </c>
      <c r="K267" s="343">
        <v>0.163883539482653</v>
      </c>
      <c r="L267" s="379">
        <v>0.163883539482653</v>
      </c>
      <c r="M267" s="282">
        <f t="shared" si="99"/>
        <v>4.3906422521764379E-3</v>
      </c>
      <c r="N267" s="284">
        <f t="shared" si="100"/>
        <v>1.1429685178829892E-3</v>
      </c>
      <c r="O267" s="342">
        <v>0</v>
      </c>
      <c r="P267" s="343">
        <v>0</v>
      </c>
      <c r="Q267" s="343">
        <v>2.655538832772527E-3</v>
      </c>
      <c r="R267" s="343">
        <v>3.5684438224412779E-2</v>
      </c>
      <c r="S267" s="343">
        <v>6.9083101876773967E-2</v>
      </c>
      <c r="T267" s="343">
        <v>0.10151828347572492</v>
      </c>
      <c r="U267" s="343">
        <v>0.13127749696840277</v>
      </c>
      <c r="V267" s="343">
        <v>0.14859579690617611</v>
      </c>
      <c r="W267" s="343">
        <v>0.15904730149184851</v>
      </c>
      <c r="X267" s="343">
        <v>0.16841083675048671</v>
      </c>
      <c r="Y267" s="379">
        <v>0.17638975851068464</v>
      </c>
      <c r="Z267" s="282">
        <f t="shared" si="101"/>
        <v>1.1018390683270422E-2</v>
      </c>
      <c r="AA267" s="284">
        <f t="shared" si="102"/>
        <v>2.7768146817164318E-3</v>
      </c>
      <c r="AB267" s="948">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v>
      </c>
      <c r="AC267" s="949">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v>
      </c>
      <c r="AD267" s="1226">
        <f t="shared" si="109"/>
        <v>0</v>
      </c>
      <c r="AE267" s="1230">
        <f t="shared" si="106"/>
        <v>4.3906422521764379E-3</v>
      </c>
      <c r="AF267" s="1231">
        <f t="shared" si="107"/>
        <v>1.1018390683270422E-2</v>
      </c>
      <c r="AG267" s="1231">
        <f t="shared" si="108"/>
        <v>1.540903293544686E-2</v>
      </c>
      <c r="AH267" s="1172">
        <f t="shared" si="104"/>
        <v>0.2849395072727911</v>
      </c>
      <c r="AI267" s="1232">
        <f t="shared" si="105"/>
        <v>0.71506049272720895</v>
      </c>
    </row>
    <row r="268" spans="1:35" x14ac:dyDescent="0.2">
      <c r="A268" s="330">
        <v>2042</v>
      </c>
      <c r="B268" s="344">
        <v>0</v>
      </c>
      <c r="C268" s="345">
        <v>0</v>
      </c>
      <c r="D268" s="345">
        <v>5.7133901301330871E-3</v>
      </c>
      <c r="E268" s="345">
        <v>5.204132423461752E-2</v>
      </c>
      <c r="F268" s="345">
        <v>9.5166872837955399E-2</v>
      </c>
      <c r="G268" s="345">
        <v>0.12125159568587583</v>
      </c>
      <c r="H268" s="345">
        <v>0.1664282148066249</v>
      </c>
      <c r="I268" s="345">
        <v>0.17787205892206367</v>
      </c>
      <c r="J268" s="345">
        <v>0.18315610275655234</v>
      </c>
      <c r="K268" s="345">
        <v>0.19678706562632622</v>
      </c>
      <c r="L268" s="380">
        <v>0.19678706562632622</v>
      </c>
      <c r="M268" s="296">
        <f t="shared" si="99"/>
        <v>8.1214313358010087E-3</v>
      </c>
      <c r="N268" s="298">
        <f t="shared" si="100"/>
        <v>2.437967830908994E-3</v>
      </c>
      <c r="O268" s="344">
        <v>0</v>
      </c>
      <c r="P268" s="345">
        <v>0</v>
      </c>
      <c r="Q268" s="345">
        <v>1.3849943095523712E-2</v>
      </c>
      <c r="R268" s="345">
        <v>7.7368390992673522E-2</v>
      </c>
      <c r="S268" s="345">
        <v>0.11443656293807355</v>
      </c>
      <c r="T268" s="345">
        <v>0.14765928171077519</v>
      </c>
      <c r="U268" s="345">
        <v>0.17228305503756708</v>
      </c>
      <c r="V268" s="345">
        <v>0.18315610275655234</v>
      </c>
      <c r="W268" s="345">
        <v>0.19265288730308691</v>
      </c>
      <c r="X268" s="345">
        <v>0.19678706562632622</v>
      </c>
      <c r="Y268" s="380">
        <v>0.20362524287601191</v>
      </c>
      <c r="Z268" s="296">
        <f t="shared" si="101"/>
        <v>1.7368864622862693E-2</v>
      </c>
      <c r="AA268" s="298">
        <f t="shared" si="102"/>
        <v>4.9253148344931795E-3</v>
      </c>
      <c r="AB268" s="948">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v>
      </c>
      <c r="AC268" s="949">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v>
      </c>
      <c r="AD268" s="1226">
        <f t="shared" si="109"/>
        <v>0</v>
      </c>
      <c r="AE268" s="1230">
        <f t="shared" si="106"/>
        <v>8.1214313358010087E-3</v>
      </c>
      <c r="AF268" s="1231">
        <f t="shared" si="107"/>
        <v>1.7368864622862693E-2</v>
      </c>
      <c r="AG268" s="1231">
        <f t="shared" si="108"/>
        <v>2.54902959586637E-2</v>
      </c>
      <c r="AH268" s="1172">
        <f t="shared" si="104"/>
        <v>0.3186087501287202</v>
      </c>
      <c r="AI268" s="1232">
        <f t="shared" si="105"/>
        <v>0.68139124987127986</v>
      </c>
    </row>
    <row r="269" spans="1:35" x14ac:dyDescent="0.2">
      <c r="A269" s="330">
        <v>2043</v>
      </c>
      <c r="B269" s="344">
        <v>0</v>
      </c>
      <c r="C269" s="345">
        <v>1.1510471771677467E-4</v>
      </c>
      <c r="D269" s="345">
        <v>2.7343602312383378E-2</v>
      </c>
      <c r="E269" s="345">
        <v>0.10761111936222058</v>
      </c>
      <c r="F269" s="345">
        <v>0.15164430661613332</v>
      </c>
      <c r="G269" s="345">
        <v>0.17318276964801949</v>
      </c>
      <c r="H269" s="345">
        <v>0.20499400445832652</v>
      </c>
      <c r="I269" s="345">
        <v>0.21532484176555594</v>
      </c>
      <c r="J269" s="345">
        <v>0.21981317978041717</v>
      </c>
      <c r="K269" s="345">
        <v>0.22722531244220395</v>
      </c>
      <c r="L269" s="380">
        <v>0.22722531244220395</v>
      </c>
      <c r="M269" s="296">
        <f t="shared" si="99"/>
        <v>1.4480917262060073E-2</v>
      </c>
      <c r="N269" s="298">
        <f t="shared" si="100"/>
        <v>5.0341916914511883E-3</v>
      </c>
      <c r="O269" s="344">
        <v>0</v>
      </c>
      <c r="P269" s="345">
        <v>4.8065900233127979E-4</v>
      </c>
      <c r="Q269" s="345">
        <v>4.9470142018977502E-2</v>
      </c>
      <c r="R269" s="345">
        <v>0.12846833377897149</v>
      </c>
      <c r="S269" s="345">
        <v>0.16612495585242071</v>
      </c>
      <c r="T269" s="345">
        <v>0.19313083664291214</v>
      </c>
      <c r="U269" s="345">
        <v>0.21037141696372028</v>
      </c>
      <c r="V269" s="345">
        <v>0.21981317978041717</v>
      </c>
      <c r="W269" s="345">
        <v>0.22722531244220395</v>
      </c>
      <c r="X269" s="345">
        <v>0.22722531244220395</v>
      </c>
      <c r="Y269" s="380">
        <v>0.23223779932413896</v>
      </c>
      <c r="Z269" s="296">
        <f t="shared" si="101"/>
        <v>2.6545334593579491E-2</v>
      </c>
      <c r="AA269" s="298">
        <f t="shared" si="102"/>
        <v>8.5752457398235536E-3</v>
      </c>
      <c r="AB269" s="948">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v>
      </c>
      <c r="AC269" s="949">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v>
      </c>
      <c r="AD269" s="1226">
        <f t="shared" si="109"/>
        <v>0</v>
      </c>
      <c r="AE269" s="1230">
        <f t="shared" si="106"/>
        <v>1.4480917262060073E-2</v>
      </c>
      <c r="AF269" s="1231">
        <f t="shared" si="107"/>
        <v>2.6545334593579491E-2</v>
      </c>
      <c r="AG269" s="1231">
        <f t="shared" si="108"/>
        <v>4.1026251855639566E-2</v>
      </c>
      <c r="AH269" s="1172">
        <f t="shared" si="104"/>
        <v>0.35296710294214928</v>
      </c>
      <c r="AI269" s="1232">
        <f t="shared" si="105"/>
        <v>0.64703289705785072</v>
      </c>
    </row>
    <row r="270" spans="1:35" x14ac:dyDescent="0.2">
      <c r="A270" s="330">
        <v>2044</v>
      </c>
      <c r="B270" s="344">
        <v>0</v>
      </c>
      <c r="C270" s="345">
        <v>3.5896803266907765E-3</v>
      </c>
      <c r="D270" s="345">
        <v>7.8038110111162642E-2</v>
      </c>
      <c r="E270" s="345">
        <v>0.16201172388226404</v>
      </c>
      <c r="F270" s="345">
        <v>0.20659992596820315</v>
      </c>
      <c r="G270" s="345">
        <v>0.22007738316807146</v>
      </c>
      <c r="H270" s="345">
        <v>0.24215970022757846</v>
      </c>
      <c r="I270" s="345">
        <v>0.24641812791764103</v>
      </c>
      <c r="J270" s="345">
        <v>0.25310858212534687</v>
      </c>
      <c r="K270" s="345">
        <v>0.25543432238615538</v>
      </c>
      <c r="L270" s="380">
        <v>0.25543432238615538</v>
      </c>
      <c r="M270" s="296">
        <f t="shared" si="99"/>
        <v>2.3817145378491757E-2</v>
      </c>
      <c r="N270" s="298">
        <f t="shared" si="100"/>
        <v>9.5470815481432953E-3</v>
      </c>
      <c r="O270" s="344">
        <v>0</v>
      </c>
      <c r="P270" s="345">
        <v>7.2202072868001142E-3</v>
      </c>
      <c r="Q270" s="345">
        <v>0.10471973231889278</v>
      </c>
      <c r="R270" s="345">
        <v>0.17536975675613439</v>
      </c>
      <c r="S270" s="345">
        <v>0.21350632350452434</v>
      </c>
      <c r="T270" s="345">
        <v>0.23204325292046685</v>
      </c>
      <c r="U270" s="345">
        <v>0.24641812791764103</v>
      </c>
      <c r="V270" s="345">
        <v>0.25008407932474247</v>
      </c>
      <c r="W270" s="345">
        <v>0.25543432238615538</v>
      </c>
      <c r="X270" s="345">
        <v>0.25543432238615538</v>
      </c>
      <c r="Y270" s="380">
        <v>0.25698459345970537</v>
      </c>
      <c r="Z270" s="296">
        <f t="shared" si="101"/>
        <v>3.8468219274290505E-2</v>
      </c>
      <c r="AA270" s="298">
        <f t="shared" si="102"/>
        <v>1.4571341231758277E-2</v>
      </c>
      <c r="AB270" s="948">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v>
      </c>
      <c r="AC270" s="949">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v>
      </c>
      <c r="AD270" s="1226">
        <f t="shared" si="109"/>
        <v>0</v>
      </c>
      <c r="AE270" s="1230">
        <f t="shared" si="106"/>
        <v>2.3817145378491757E-2</v>
      </c>
      <c r="AF270" s="1231">
        <f t="shared" si="107"/>
        <v>3.8468219274290505E-2</v>
      </c>
      <c r="AG270" s="1231">
        <f t="shared" si="108"/>
        <v>6.2285364652782262E-2</v>
      </c>
      <c r="AH270" s="1172">
        <f t="shared" si="104"/>
        <v>0.3823875080649119</v>
      </c>
      <c r="AI270" s="1232">
        <f t="shared" si="105"/>
        <v>0.61761249193508805</v>
      </c>
    </row>
    <row r="271" spans="1:35" ht="13.5" thickBot="1" x14ac:dyDescent="0.25">
      <c r="A271" s="328">
        <v>2045</v>
      </c>
      <c r="B271" s="346">
        <v>0</v>
      </c>
      <c r="C271" s="347">
        <v>2.7175623323914749E-2</v>
      </c>
      <c r="D271" s="347">
        <v>0.14168521519723534</v>
      </c>
      <c r="E271" s="347">
        <v>0.19951617082083239</v>
      </c>
      <c r="F271" s="347">
        <v>0.24400854041356129</v>
      </c>
      <c r="G271" s="347">
        <v>0.26072422421417202</v>
      </c>
      <c r="H271" s="347">
        <v>0.27221138512140675</v>
      </c>
      <c r="I271" s="347">
        <v>0.27221138512140675</v>
      </c>
      <c r="J271" s="347">
        <v>0.27464819772247601</v>
      </c>
      <c r="K271" s="347">
        <v>0.27692767137247765</v>
      </c>
      <c r="L271" s="381">
        <v>0.27692767137247765</v>
      </c>
      <c r="M271" s="310">
        <f t="shared" si="99"/>
        <v>3.6065347739610891E-2</v>
      </c>
      <c r="N271" s="312">
        <f t="shared" si="100"/>
        <v>1.7128071125440958E-2</v>
      </c>
      <c r="O271" s="346">
        <v>0</v>
      </c>
      <c r="P271" s="347">
        <v>3.7543167052349426E-2</v>
      </c>
      <c r="Q271" s="347">
        <v>0.16340769913575942</v>
      </c>
      <c r="R271" s="347">
        <v>0.21000960964735776</v>
      </c>
      <c r="S271" s="347">
        <v>0.25567395930429004</v>
      </c>
      <c r="T271" s="347">
        <v>0.26519502705371989</v>
      </c>
      <c r="U271" s="347">
        <v>0.27221138512140675</v>
      </c>
      <c r="V271" s="347">
        <v>0.27464819772247601</v>
      </c>
      <c r="W271" s="347">
        <v>0.27627187133142006</v>
      </c>
      <c r="X271" s="347">
        <v>0.27692767137247765</v>
      </c>
      <c r="Y271" s="381">
        <v>0.27692767137247765</v>
      </c>
      <c r="Z271" s="310">
        <f t="shared" si="101"/>
        <v>5.5806466316127686E-2</v>
      </c>
      <c r="AA271" s="312">
        <f t="shared" si="102"/>
        <v>2.6376513944195989E-2</v>
      </c>
      <c r="AB271" s="948">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v>
      </c>
      <c r="AC271" s="949">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v>
      </c>
      <c r="AD271" s="1226">
        <f t="shared" si="109"/>
        <v>0</v>
      </c>
      <c r="AE271" s="1230">
        <f t="shared" si="106"/>
        <v>3.6065347739610891E-2</v>
      </c>
      <c r="AF271" s="1231">
        <f t="shared" si="107"/>
        <v>5.5806466316127686E-2</v>
      </c>
      <c r="AG271" s="1231">
        <f t="shared" si="108"/>
        <v>9.1871814055738577E-2</v>
      </c>
      <c r="AH271" s="1172">
        <f t="shared" si="104"/>
        <v>0.39256161544529933</v>
      </c>
      <c r="AI271" s="1232">
        <f t="shared" si="105"/>
        <v>0.60743838455470067</v>
      </c>
    </row>
    <row r="272" spans="1:35" x14ac:dyDescent="0.2">
      <c r="A272" s="329">
        <v>2046</v>
      </c>
      <c r="B272" s="342">
        <v>0</v>
      </c>
      <c r="C272" s="343">
        <v>6.9547695755544606E-2</v>
      </c>
      <c r="D272" s="343">
        <v>0.17963791368077694</v>
      </c>
      <c r="E272" s="343">
        <v>0.21545050057075088</v>
      </c>
      <c r="F272" s="343">
        <v>0.27427604215236462</v>
      </c>
      <c r="G272" s="343">
        <v>0.28285973675742254</v>
      </c>
      <c r="H272" s="343">
        <v>0.28864171382596882</v>
      </c>
      <c r="I272" s="343">
        <v>0.29031506810219354</v>
      </c>
      <c r="J272" s="343">
        <v>0.29099082612157123</v>
      </c>
      <c r="K272" s="343">
        <v>0.29099082612157123</v>
      </c>
      <c r="L272" s="379">
        <v>0.29099082612157123</v>
      </c>
      <c r="M272" s="282">
        <f t="shared" si="99"/>
        <v>4.748712552404534E-2</v>
      </c>
      <c r="N272" s="284">
        <f t="shared" si="100"/>
        <v>2.5589868443251854E-2</v>
      </c>
      <c r="O272" s="342">
        <v>0</v>
      </c>
      <c r="P272" s="343">
        <v>8.8600561170512585E-2</v>
      </c>
      <c r="Q272" s="343">
        <v>0.19092696590270544</v>
      </c>
      <c r="R272" s="343">
        <v>0.21952878476375159</v>
      </c>
      <c r="S272" s="343">
        <v>0.27889172735358236</v>
      </c>
      <c r="T272" s="343">
        <v>0.28612962535312192</v>
      </c>
      <c r="U272" s="343">
        <v>0.28864171382596882</v>
      </c>
      <c r="V272" s="343">
        <v>0.29031506810219354</v>
      </c>
      <c r="W272" s="343">
        <v>0.29099082612157123</v>
      </c>
      <c r="X272" s="343">
        <v>0.29099082612157123</v>
      </c>
      <c r="Y272" s="379">
        <v>0.29099082612157123</v>
      </c>
      <c r="Z272" s="282">
        <f t="shared" si="101"/>
        <v>7.3783821705427091E-2</v>
      </c>
      <c r="AA272" s="284">
        <f t="shared" si="102"/>
        <v>4.1262305172650074E-2</v>
      </c>
      <c r="AB272" s="948">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v>
      </c>
      <c r="AC272" s="949">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v>
      </c>
      <c r="AD272" s="1226">
        <f t="shared" si="109"/>
        <v>0</v>
      </c>
      <c r="AE272" s="1230">
        <f t="shared" si="106"/>
        <v>4.748712552404534E-2</v>
      </c>
      <c r="AF272" s="1231">
        <f t="shared" si="107"/>
        <v>7.3783821705427091E-2</v>
      </c>
      <c r="AG272" s="1231">
        <f t="shared" si="108"/>
        <v>0.12127094722947243</v>
      </c>
      <c r="AH272" s="1172">
        <f t="shared" si="104"/>
        <v>0.39157874667366793</v>
      </c>
      <c r="AI272" s="1232">
        <f t="shared" si="105"/>
        <v>0.60842125332633201</v>
      </c>
    </row>
    <row r="273" spans="1:35" x14ac:dyDescent="0.2">
      <c r="A273" s="330">
        <v>2047</v>
      </c>
      <c r="B273" s="344">
        <v>0</v>
      </c>
      <c r="C273" s="345">
        <v>0.10981933795541438</v>
      </c>
      <c r="D273" s="345">
        <v>0.19530756529444129</v>
      </c>
      <c r="E273" s="345">
        <v>0.22283461921688694</v>
      </c>
      <c r="F273" s="345">
        <v>0.29210481345393652</v>
      </c>
      <c r="G273" s="345">
        <v>0.29543787539733951</v>
      </c>
      <c r="H273" s="345">
        <v>0.29970274140752889</v>
      </c>
      <c r="I273" s="345">
        <v>0.30039117129337883</v>
      </c>
      <c r="J273" s="345">
        <v>0.30039117129337883</v>
      </c>
      <c r="K273" s="345">
        <v>0.30039117129337883</v>
      </c>
      <c r="L273" s="380">
        <v>0.30039117129337883</v>
      </c>
      <c r="M273" s="296">
        <f t="shared" si="99"/>
        <v>5.5858263835329644E-2</v>
      </c>
      <c r="N273" s="298">
        <f t="shared" si="100"/>
        <v>3.2370654792015979E-2</v>
      </c>
      <c r="O273" s="344">
        <v>0</v>
      </c>
      <c r="P273" s="345">
        <v>0.13238550226073623</v>
      </c>
      <c r="Q273" s="345">
        <v>0.2075112086050569</v>
      </c>
      <c r="R273" s="345">
        <v>0.2260959080280629</v>
      </c>
      <c r="S273" s="345">
        <v>0.29543787539733951</v>
      </c>
      <c r="T273" s="345">
        <v>0.29799782715557055</v>
      </c>
      <c r="U273" s="345">
        <v>0.30039117129337883</v>
      </c>
      <c r="V273" s="345">
        <v>0.30039117129337883</v>
      </c>
      <c r="W273" s="345">
        <v>0.30039117129337883</v>
      </c>
      <c r="X273" s="345">
        <v>0.30039117129337883</v>
      </c>
      <c r="Y273" s="380">
        <v>0.30039117129337883</v>
      </c>
      <c r="Z273" s="296">
        <f t="shared" si="101"/>
        <v>8.8268362992543981E-2</v>
      </c>
      <c r="AA273" s="298">
        <f t="shared" si="102"/>
        <v>5.3607190757561235E-2</v>
      </c>
      <c r="AB273" s="948">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v>
      </c>
      <c r="AC273" s="949">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v>
      </c>
      <c r="AD273" s="1226">
        <f t="shared" si="109"/>
        <v>0</v>
      </c>
      <c r="AE273" s="1230">
        <f t="shared" si="106"/>
        <v>5.5858263835329644E-2</v>
      </c>
      <c r="AF273" s="1231">
        <f t="shared" si="107"/>
        <v>8.8268362992543981E-2</v>
      </c>
      <c r="AG273" s="1231">
        <f t="shared" si="108"/>
        <v>0.14412662682787364</v>
      </c>
      <c r="AH273" s="1172">
        <f t="shared" si="104"/>
        <v>0.38756380458442002</v>
      </c>
      <c r="AI273" s="1232">
        <f t="shared" si="105"/>
        <v>0.61243619541557992</v>
      </c>
    </row>
    <row r="274" spans="1:35" x14ac:dyDescent="0.2">
      <c r="A274" s="330">
        <v>2048</v>
      </c>
      <c r="B274" s="344">
        <v>7.9551660698164357E-4</v>
      </c>
      <c r="C274" s="345">
        <v>0.14557374399251358</v>
      </c>
      <c r="D274" s="345">
        <v>0.21069610832575084</v>
      </c>
      <c r="E274" s="345">
        <v>0.22912913530071449</v>
      </c>
      <c r="F274" s="345">
        <v>0.30127630339641326</v>
      </c>
      <c r="G274" s="345">
        <v>0.30386511683347678</v>
      </c>
      <c r="H274" s="345">
        <v>0.30628510944243498</v>
      </c>
      <c r="I274" s="345">
        <v>0.30628510944243498</v>
      </c>
      <c r="J274" s="345">
        <v>0.30628510944243498</v>
      </c>
      <c r="K274" s="345">
        <v>0.30628510944243498</v>
      </c>
      <c r="L274" s="380">
        <v>0.30628510944243498</v>
      </c>
      <c r="M274" s="296">
        <f t="shared" si="99"/>
        <v>6.3270941186246807E-2</v>
      </c>
      <c r="N274" s="298">
        <f t="shared" si="100"/>
        <v>3.8537558197332199E-2</v>
      </c>
      <c r="O274" s="344">
        <v>7.9551660698164357E-4</v>
      </c>
      <c r="P274" s="345">
        <v>0.15117065456084505</v>
      </c>
      <c r="Q274" s="345">
        <v>0.21512744351539292</v>
      </c>
      <c r="R274" s="345">
        <v>0.23161082235877969</v>
      </c>
      <c r="S274" s="345">
        <v>0.30386511683347678</v>
      </c>
      <c r="T274" s="345">
        <v>0.30558904744264048</v>
      </c>
      <c r="U274" s="345">
        <v>0.30628510944243498</v>
      </c>
      <c r="V274" s="345">
        <v>0.30628510944243498</v>
      </c>
      <c r="W274" s="345">
        <v>0.30628510944243498</v>
      </c>
      <c r="X274" s="345">
        <v>0.30628510944243498</v>
      </c>
      <c r="Y274" s="380">
        <v>0.30628510944243498</v>
      </c>
      <c r="Z274" s="296">
        <f t="shared" si="101"/>
        <v>9.4882827315175694E-2</v>
      </c>
      <c r="AA274" s="298">
        <f t="shared" si="102"/>
        <v>5.9229652829169852E-2</v>
      </c>
      <c r="AB274" s="948">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v>
      </c>
      <c r="AC274" s="949">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v>
      </c>
      <c r="AD274" s="1226">
        <f t="shared" si="109"/>
        <v>0</v>
      </c>
      <c r="AE274" s="1230">
        <f t="shared" si="106"/>
        <v>6.3270941186246807E-2</v>
      </c>
      <c r="AF274" s="1231">
        <f t="shared" si="107"/>
        <v>9.4882827315175694E-2</v>
      </c>
      <c r="AG274" s="1231">
        <f t="shared" si="108"/>
        <v>0.15815376850142249</v>
      </c>
      <c r="AH274" s="1172">
        <f t="shared" si="104"/>
        <v>0.40005964945234757</v>
      </c>
      <c r="AI274" s="1232">
        <f t="shared" si="105"/>
        <v>0.59994035054765249</v>
      </c>
    </row>
    <row r="275" spans="1:35" x14ac:dyDescent="0.2">
      <c r="A275" s="330">
        <v>2049</v>
      </c>
      <c r="B275" s="344">
        <v>3.393687161804521E-3</v>
      </c>
      <c r="C275" s="345">
        <v>0.16435187388229855</v>
      </c>
      <c r="D275" s="345">
        <v>0.21459721343476934</v>
      </c>
      <c r="E275" s="345">
        <v>0.23159664290466375</v>
      </c>
      <c r="F275" s="345">
        <v>0.30745639627071703</v>
      </c>
      <c r="G275" s="345">
        <v>0.30919165579865099</v>
      </c>
      <c r="H275" s="345">
        <v>0.30989226324111258</v>
      </c>
      <c r="I275" s="345">
        <v>0.30989226324111258</v>
      </c>
      <c r="J275" s="345">
        <v>0.30989226324111258</v>
      </c>
      <c r="K275" s="345">
        <v>0.30989226324111258</v>
      </c>
      <c r="L275" s="380">
        <v>0.30989226324111258</v>
      </c>
      <c r="M275" s="296">
        <f t="shared" si="99"/>
        <v>6.6949265090098714E-2</v>
      </c>
      <c r="N275" s="298">
        <f t="shared" si="100"/>
        <v>4.1918489490072521E-2</v>
      </c>
      <c r="O275" s="344">
        <v>3.3964451809351381E-3</v>
      </c>
      <c r="P275" s="345">
        <v>0.17085094485755895</v>
      </c>
      <c r="Q275" s="345">
        <v>0.22383041597438158</v>
      </c>
      <c r="R275" s="345">
        <v>0.23446806761606548</v>
      </c>
      <c r="S275" s="345">
        <v>0.30919165579865099</v>
      </c>
      <c r="T275" s="345">
        <v>0.30989226324111258</v>
      </c>
      <c r="U275" s="345">
        <v>0.30989226324111258</v>
      </c>
      <c r="V275" s="345">
        <v>0.30989226324111258</v>
      </c>
      <c r="W275" s="345">
        <v>0.30989226324111258</v>
      </c>
      <c r="X275" s="345">
        <v>0.30989226324111258</v>
      </c>
      <c r="Y275" s="380">
        <v>0.30989226324111258</v>
      </c>
      <c r="Z275" s="296">
        <f t="shared" si="101"/>
        <v>0.10168933708211744</v>
      </c>
      <c r="AA275" s="298">
        <f t="shared" si="102"/>
        <v>6.552056117373134E-2</v>
      </c>
      <c r="AB275" s="948">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v>
      </c>
      <c r="AC275" s="949">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v>
      </c>
      <c r="AD275" s="1226">
        <f t="shared" si="109"/>
        <v>0</v>
      </c>
      <c r="AE275" s="1230">
        <f t="shared" si="106"/>
        <v>6.6949265090098714E-2</v>
      </c>
      <c r="AF275" s="1231">
        <f t="shared" si="107"/>
        <v>0.10168933708211744</v>
      </c>
      <c r="AG275" s="1231">
        <f t="shared" si="108"/>
        <v>0.16863860217221616</v>
      </c>
      <c r="AH275" s="1172">
        <f t="shared" si="104"/>
        <v>0.39699845840591802</v>
      </c>
      <c r="AI275" s="1232">
        <f t="shared" si="105"/>
        <v>0.60300154159408192</v>
      </c>
    </row>
    <row r="276" spans="1:35" ht="13.5" thickBot="1" x14ac:dyDescent="0.25">
      <c r="A276" s="328">
        <v>2050</v>
      </c>
      <c r="B276" s="346">
        <v>1.5076681491406124E-2</v>
      </c>
      <c r="C276" s="347">
        <v>0.1800633184950525</v>
      </c>
      <c r="D276" s="347">
        <v>0.22641433814524403</v>
      </c>
      <c r="E276" s="347">
        <v>0.23702352173406582</v>
      </c>
      <c r="F276" s="347">
        <v>0.31469021715940149</v>
      </c>
      <c r="G276" s="347">
        <v>0.31539759699016001</v>
      </c>
      <c r="H276" s="347">
        <v>0.31539759699016001</v>
      </c>
      <c r="I276" s="347">
        <v>0.31539759699016001</v>
      </c>
      <c r="J276" s="347">
        <v>0.31539759699016001</v>
      </c>
      <c r="K276" s="347">
        <v>0.31539759699016001</v>
      </c>
      <c r="L276" s="381">
        <v>0.31539759699016001</v>
      </c>
      <c r="M276" s="310">
        <f t="shared" si="99"/>
        <v>7.173864687420288E-2</v>
      </c>
      <c r="N276" s="312">
        <f t="shared" si="100"/>
        <v>4.6831501510526723E-2</v>
      </c>
      <c r="O276" s="346">
        <v>1.5162149181965422E-2</v>
      </c>
      <c r="P276" s="347">
        <v>0.19325625723827752</v>
      </c>
      <c r="Q276" s="347">
        <v>0.22959361235922571</v>
      </c>
      <c r="R276" s="347">
        <v>0.23683487726605928</v>
      </c>
      <c r="S276" s="347">
        <v>0.31539759699016001</v>
      </c>
      <c r="T276" s="347">
        <v>0.31539759699016001</v>
      </c>
      <c r="U276" s="347">
        <v>0.31539759699016001</v>
      </c>
      <c r="V276" s="347">
        <v>0.31539759699016001</v>
      </c>
      <c r="W276" s="347">
        <v>0.31539759699016001</v>
      </c>
      <c r="X276" s="347">
        <v>0.31539759699016001</v>
      </c>
      <c r="Y276" s="381">
        <v>0.31539759699016001</v>
      </c>
      <c r="Z276" s="310">
        <f t="shared" si="101"/>
        <v>0.11012115768970572</v>
      </c>
      <c r="AA276" s="312">
        <f t="shared" si="102"/>
        <v>7.4889562795002002E-2</v>
      </c>
      <c r="AB276" s="950">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v>
      </c>
      <c r="AC276" s="951">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v>
      </c>
      <c r="AD276" s="1227">
        <f t="shared" si="109"/>
        <v>0</v>
      </c>
      <c r="AE276" s="1233">
        <f t="shared" si="106"/>
        <v>7.173864687420288E-2</v>
      </c>
      <c r="AF276" s="1234">
        <f t="shared" si="107"/>
        <v>0.11012115768970572</v>
      </c>
      <c r="AG276" s="1234">
        <f t="shared" si="108"/>
        <v>0.1818598045639086</v>
      </c>
      <c r="AH276" s="1235">
        <f t="shared" si="104"/>
        <v>0.39447225320751245</v>
      </c>
      <c r="AI276" s="1236">
        <f t="shared" si="105"/>
        <v>0.60552774679248755</v>
      </c>
    </row>
    <row r="277" spans="1:35" x14ac:dyDescent="0.2">
      <c r="B277" s="227" t="s">
        <v>240</v>
      </c>
      <c r="U277" s="227" t="s">
        <v>240</v>
      </c>
      <c r="AI277" s="227"/>
    </row>
    <row r="278" spans="1:35" x14ac:dyDescent="0.2">
      <c r="AI278" s="227"/>
    </row>
    <row r="279" spans="1:35" ht="13.5" thickBot="1" x14ac:dyDescent="0.25">
      <c r="AI279" s="227"/>
    </row>
    <row r="280" spans="1:35" ht="15" x14ac:dyDescent="0.25">
      <c r="A280" s="333"/>
      <c r="B280" s="1538" t="s">
        <v>219</v>
      </c>
      <c r="C280" s="1539"/>
      <c r="D280" s="1539"/>
      <c r="E280" s="1539"/>
      <c r="F280" s="1539"/>
      <c r="G280" s="1539"/>
      <c r="H280" s="1539"/>
      <c r="I280" s="1539"/>
      <c r="J280" s="1539"/>
      <c r="K280" s="1539"/>
      <c r="L280" s="1539"/>
      <c r="M280" s="1539"/>
      <c r="N280" s="1540"/>
      <c r="O280" s="1538" t="s">
        <v>218</v>
      </c>
      <c r="P280" s="1539"/>
      <c r="Q280" s="1539"/>
      <c r="R280" s="1539"/>
      <c r="S280" s="1539"/>
      <c r="T280" s="1539"/>
      <c r="U280" s="1539"/>
      <c r="V280" s="1539"/>
      <c r="W280" s="1539"/>
      <c r="X280" s="1539"/>
      <c r="Y280" s="1539"/>
      <c r="Z280" s="1539"/>
      <c r="AA280" s="1540"/>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4" t="s">
        <v>267</v>
      </c>
      <c r="AD281" s="234" t="b">
        <f>INDEX(TECH_OPT_FUEL2_Cls3,MATCH(RIGHT(O280),TECH_OPT_ROWS_Cls3,0))&lt;&gt;"N/A"</f>
        <v>0</v>
      </c>
    </row>
    <row r="282" spans="1:35" ht="13.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MATCH(RIGHT(O280),TECH_OPT_ROWS_Cls3,0)</f>
        <v>6</v>
      </c>
    </row>
    <row r="283" spans="1:35" ht="14.25"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09">
        <v>1.1022999100839563E-4</v>
      </c>
      <c r="Z283" s="1214"/>
      <c r="AA283" s="1215"/>
    </row>
    <row r="284" spans="1:35" x14ac:dyDescent="0.2">
      <c r="A284" s="331" t="s">
        <v>125</v>
      </c>
      <c r="B284" s="923">
        <f t="array" ref="B284:L284">TRANSPOSE(Cls3CentVMTShr)</f>
        <v>7.4407503791532936E-2</v>
      </c>
      <c r="C284" s="924">
        <v>0.15052192967997111</v>
      </c>
      <c r="D284" s="924">
        <v>8.9028098283245441E-2</v>
      </c>
      <c r="E284" s="924">
        <v>4.5356257743642811E-2</v>
      </c>
      <c r="F284" s="924">
        <v>2.1016507050137231E-2</v>
      </c>
      <c r="G284" s="924">
        <v>4.9007047894213725E-4</v>
      </c>
      <c r="H284" s="924">
        <v>1.4797621296467818E-2</v>
      </c>
      <c r="I284" s="924">
        <v>0</v>
      </c>
      <c r="J284" s="924">
        <v>0</v>
      </c>
      <c r="K284" s="924">
        <v>3.7103078033661591E-3</v>
      </c>
      <c r="L284" s="1210">
        <v>0</v>
      </c>
      <c r="M284" s="1211"/>
      <c r="N284" s="1212"/>
      <c r="O284" s="923">
        <f t="array" ref="O284:Y284">TRANSPOSE(Cls3NCentVMTShr)</f>
        <v>0.11481596497083862</v>
      </c>
      <c r="P284" s="924">
        <v>0.26987209279577573</v>
      </c>
      <c r="Q284" s="924">
        <v>8.3836105982992667E-2</v>
      </c>
      <c r="R284" s="924">
        <v>5.9842896537765707E-2</v>
      </c>
      <c r="S284" s="924">
        <v>1.6413649143963899E-2</v>
      </c>
      <c r="T284" s="924">
        <v>1.0165768727376887E-2</v>
      </c>
      <c r="U284" s="924">
        <v>2.0700108148562976E-2</v>
      </c>
      <c r="V284" s="924">
        <v>2.0956833812228508E-2</v>
      </c>
      <c r="W284" s="924">
        <v>3.1584958359553582E-3</v>
      </c>
      <c r="X284" s="924">
        <v>0</v>
      </c>
      <c r="Y284" s="925">
        <v>9.0978791723388369E-4</v>
      </c>
      <c r="Z284" s="1211"/>
      <c r="AA284" s="1212"/>
      <c r="AB284" s="1551" t="str">
        <f>"% of miles on f2 for Tech "&amp; RIGHT(O279)&amp;" adopters"</f>
        <v>% of miles on f2 for Tech  adopters</v>
      </c>
      <c r="AC284" s="1552"/>
      <c r="AD284" s="1553"/>
      <c r="AE284" s="1237" t="s">
        <v>298</v>
      </c>
      <c r="AF284" s="1238"/>
      <c r="AG284" s="1238"/>
      <c r="AH284" s="1228" t="s">
        <v>297</v>
      </c>
      <c r="AI284" s="1229"/>
    </row>
    <row r="285" spans="1:35" ht="13.5" thickBot="1" x14ac:dyDescent="0.25">
      <c r="A285" s="942" t="s">
        <v>266</v>
      </c>
      <c r="B285" s="933">
        <f t="array" ref="B285:L285">TRANSPOSE(Cls3CentVMT/OPDAYS_Cls3)</f>
        <v>49.202805162026571</v>
      </c>
      <c r="C285" s="934">
        <v>115.99623692884222</v>
      </c>
      <c r="D285" s="934">
        <v>190.94140758026836</v>
      </c>
      <c r="E285" s="934">
        <v>282.72824571583544</v>
      </c>
      <c r="F285" s="934">
        <v>349.10577157713089</v>
      </c>
      <c r="G285" s="934">
        <v>408.92399999999998</v>
      </c>
      <c r="H285" s="934">
        <v>540.31926836851005</v>
      </c>
      <c r="I285" s="934">
        <v>600</v>
      </c>
      <c r="J285" s="934">
        <v>680</v>
      </c>
      <c r="K285" s="934">
        <v>800.00000000000011</v>
      </c>
      <c r="L285" s="935">
        <v>800</v>
      </c>
      <c r="M285" s="931"/>
      <c r="N285" s="932"/>
      <c r="O285" s="933">
        <f t="array" ref="O285:Y285">TRANSPOSE(Cls3NCentVMT/OPDAYS_Cls3)</f>
        <v>45.820527909508108</v>
      </c>
      <c r="P285" s="934">
        <v>114.90604343518244</v>
      </c>
      <c r="Q285" s="934">
        <v>196.29405935940918</v>
      </c>
      <c r="R285" s="934">
        <v>286.46435582159182</v>
      </c>
      <c r="S285" s="934">
        <v>352.24339419308075</v>
      </c>
      <c r="T285" s="934">
        <v>427.07804424634116</v>
      </c>
      <c r="U285" s="934">
        <v>519.59880241076587</v>
      </c>
      <c r="V285" s="934">
        <v>608.4346682070543</v>
      </c>
      <c r="W285" s="934">
        <v>703.2</v>
      </c>
      <c r="X285" s="934">
        <v>760</v>
      </c>
      <c r="Y285" s="1213">
        <v>900</v>
      </c>
      <c r="Z285" s="943"/>
      <c r="AA285" s="932"/>
      <c r="AB285" s="945" t="s">
        <v>186</v>
      </c>
      <c r="AC285" s="946" t="s">
        <v>15</v>
      </c>
      <c r="AD285" s="947" t="s">
        <v>18</v>
      </c>
      <c r="AE285" s="330" t="s">
        <v>186</v>
      </c>
      <c r="AF285" s="1239" t="s">
        <v>15</v>
      </c>
      <c r="AG285" s="1239" t="s">
        <v>18</v>
      </c>
      <c r="AH285" s="1240" t="s">
        <v>186</v>
      </c>
      <c r="AI285" s="1241" t="s">
        <v>15</v>
      </c>
    </row>
    <row r="286" spans="1:35" ht="13.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8">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49">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6">
        <f>AB286*AH286+AC286*AI286</f>
        <v>0</v>
      </c>
      <c r="AE286" s="1230">
        <f t="shared" ref="AE286:AE300" si="110">SUMPRODUCT($B$74:$L$74,B286:L286)</f>
        <v>0</v>
      </c>
      <c r="AF286" s="1231">
        <f t="shared" ref="AF286:AF300" si="111">SUMPRODUCT($O$74:$Y$74,O286:Y286)</f>
        <v>0</v>
      </c>
      <c r="AG286" s="1231">
        <f t="shared" ref="AG286:AG300" si="112">SUM(AE286:AF286)</f>
        <v>0</v>
      </c>
      <c r="AH286" s="1172">
        <f>IF(AG286&gt;0,AE286/AG286,0)</f>
        <v>0</v>
      </c>
      <c r="AI286" s="1232">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13">SUMPRODUCT(B287:L287,$B$284:$L$284)</f>
        <v>0</v>
      </c>
      <c r="N287" s="298">
        <f t="shared" ref="N287:N329" si="114">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15">SUMPRODUCT(O287:Y287,$O$284:$Y$284)</f>
        <v>0</v>
      </c>
      <c r="AA287" s="298">
        <f t="shared" ref="AA287:AA329" si="116">SUMPRODUCT(O287:Y287,$O$283:$Y$283)</f>
        <v>0</v>
      </c>
      <c r="AB287" s="948">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49">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6">
        <f t="shared" ref="AD287:AD311" si="117">AB287*AH287+AC287*AI287</f>
        <v>0</v>
      </c>
      <c r="AE287" s="1230">
        <f t="shared" si="110"/>
        <v>0</v>
      </c>
      <c r="AF287" s="1231">
        <f t="shared" si="111"/>
        <v>0</v>
      </c>
      <c r="AG287" s="1231">
        <f t="shared" si="112"/>
        <v>0</v>
      </c>
      <c r="AH287" s="1172">
        <f t="shared" ref="AH287:AH329" si="118">IF(AG287&gt;0,AE287/AG287,0)</f>
        <v>0</v>
      </c>
      <c r="AI287" s="1232">
        <f t="shared" ref="AI287:AI329" si="119">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13"/>
        <v>0</v>
      </c>
      <c r="N288" s="298">
        <f t="shared" si="114"/>
        <v>0</v>
      </c>
      <c r="O288" s="344">
        <v>0</v>
      </c>
      <c r="P288" s="345">
        <v>0</v>
      </c>
      <c r="Q288" s="345">
        <v>0</v>
      </c>
      <c r="R288" s="345">
        <v>0</v>
      </c>
      <c r="S288" s="345">
        <v>0</v>
      </c>
      <c r="T288" s="345">
        <v>0</v>
      </c>
      <c r="U288" s="345">
        <v>0</v>
      </c>
      <c r="V288" s="345">
        <v>0</v>
      </c>
      <c r="W288" s="345">
        <v>0</v>
      </c>
      <c r="X288" s="345">
        <v>0</v>
      </c>
      <c r="Y288" s="380">
        <v>0</v>
      </c>
      <c r="Z288" s="296">
        <f t="shared" si="115"/>
        <v>0</v>
      </c>
      <c r="AA288" s="298">
        <f t="shared" si="116"/>
        <v>0</v>
      </c>
      <c r="AB288" s="948">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49">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6">
        <f t="shared" si="117"/>
        <v>0</v>
      </c>
      <c r="AE288" s="1230">
        <f t="shared" si="110"/>
        <v>0</v>
      </c>
      <c r="AF288" s="1231">
        <f t="shared" si="111"/>
        <v>0</v>
      </c>
      <c r="AG288" s="1231">
        <f t="shared" si="112"/>
        <v>0</v>
      </c>
      <c r="AH288" s="1172">
        <f t="shared" si="118"/>
        <v>0</v>
      </c>
      <c r="AI288" s="1232">
        <f t="shared" si="119"/>
        <v>0</v>
      </c>
    </row>
    <row r="289" spans="1:35" ht="13.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13"/>
        <v>0</v>
      </c>
      <c r="N289" s="312">
        <f t="shared" si="114"/>
        <v>0</v>
      </c>
      <c r="O289" s="346">
        <v>0</v>
      </c>
      <c r="P289" s="347">
        <v>0</v>
      </c>
      <c r="Q289" s="347">
        <v>0</v>
      </c>
      <c r="R289" s="347">
        <v>0</v>
      </c>
      <c r="S289" s="347">
        <v>0</v>
      </c>
      <c r="T289" s="347">
        <v>0</v>
      </c>
      <c r="U289" s="347">
        <v>0</v>
      </c>
      <c r="V289" s="347">
        <v>0</v>
      </c>
      <c r="W289" s="347">
        <v>0</v>
      </c>
      <c r="X289" s="347">
        <v>0</v>
      </c>
      <c r="Y289" s="381">
        <v>0</v>
      </c>
      <c r="Z289" s="310">
        <f t="shared" si="115"/>
        <v>0</v>
      </c>
      <c r="AA289" s="312">
        <f t="shared" si="116"/>
        <v>0</v>
      </c>
      <c r="AB289" s="948">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49">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6">
        <f t="shared" si="117"/>
        <v>0</v>
      </c>
      <c r="AE289" s="1230">
        <f t="shared" si="110"/>
        <v>0</v>
      </c>
      <c r="AF289" s="1231">
        <f t="shared" si="111"/>
        <v>0</v>
      </c>
      <c r="AG289" s="1231">
        <f t="shared" si="112"/>
        <v>0</v>
      </c>
      <c r="AH289" s="1172">
        <f t="shared" si="118"/>
        <v>0</v>
      </c>
      <c r="AI289" s="1232">
        <f t="shared" si="119"/>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13"/>
        <v>0</v>
      </c>
      <c r="N290" s="284">
        <f t="shared" si="114"/>
        <v>0</v>
      </c>
      <c r="O290" s="342">
        <v>0</v>
      </c>
      <c r="P290" s="343">
        <v>0</v>
      </c>
      <c r="Q290" s="343">
        <v>0</v>
      </c>
      <c r="R290" s="343">
        <v>0</v>
      </c>
      <c r="S290" s="343">
        <v>0</v>
      </c>
      <c r="T290" s="343">
        <v>0</v>
      </c>
      <c r="U290" s="343">
        <v>0</v>
      </c>
      <c r="V290" s="343">
        <v>0</v>
      </c>
      <c r="W290" s="343">
        <v>0</v>
      </c>
      <c r="X290" s="343">
        <v>0</v>
      </c>
      <c r="Y290" s="379">
        <v>0</v>
      </c>
      <c r="Z290" s="282">
        <f t="shared" si="115"/>
        <v>0</v>
      </c>
      <c r="AA290" s="284">
        <f t="shared" si="116"/>
        <v>0</v>
      </c>
      <c r="AB290" s="948">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49">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6">
        <f t="shared" si="117"/>
        <v>0</v>
      </c>
      <c r="AE290" s="1230">
        <f t="shared" si="110"/>
        <v>0</v>
      </c>
      <c r="AF290" s="1231">
        <f t="shared" si="111"/>
        <v>0</v>
      </c>
      <c r="AG290" s="1231">
        <f t="shared" si="112"/>
        <v>0</v>
      </c>
      <c r="AH290" s="1172">
        <f t="shared" si="118"/>
        <v>0</v>
      </c>
      <c r="AI290" s="1232">
        <f t="shared" si="119"/>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13"/>
        <v>0</v>
      </c>
      <c r="N291" s="298">
        <f t="shared" si="114"/>
        <v>0</v>
      </c>
      <c r="O291" s="344">
        <v>0</v>
      </c>
      <c r="P291" s="345">
        <v>0</v>
      </c>
      <c r="Q291" s="345">
        <v>0</v>
      </c>
      <c r="R291" s="345">
        <v>0</v>
      </c>
      <c r="S291" s="345">
        <v>0</v>
      </c>
      <c r="T291" s="345">
        <v>0</v>
      </c>
      <c r="U291" s="345">
        <v>0</v>
      </c>
      <c r="V291" s="345">
        <v>0</v>
      </c>
      <c r="W291" s="345">
        <v>0</v>
      </c>
      <c r="X291" s="345">
        <v>0</v>
      </c>
      <c r="Y291" s="380">
        <v>0</v>
      </c>
      <c r="Z291" s="296">
        <f t="shared" si="115"/>
        <v>0</v>
      </c>
      <c r="AA291" s="298">
        <f t="shared" si="116"/>
        <v>0</v>
      </c>
      <c r="AB291" s="948">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49">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6">
        <f t="shared" si="117"/>
        <v>0</v>
      </c>
      <c r="AE291" s="1230">
        <f t="shared" si="110"/>
        <v>0</v>
      </c>
      <c r="AF291" s="1231">
        <f t="shared" si="111"/>
        <v>0</v>
      </c>
      <c r="AG291" s="1231">
        <f t="shared" si="112"/>
        <v>0</v>
      </c>
      <c r="AH291" s="1172">
        <f t="shared" si="118"/>
        <v>0</v>
      </c>
      <c r="AI291" s="1232">
        <f t="shared" si="119"/>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13"/>
        <v>0</v>
      </c>
      <c r="N292" s="298">
        <f t="shared" si="114"/>
        <v>0</v>
      </c>
      <c r="O292" s="344">
        <v>0</v>
      </c>
      <c r="P292" s="345">
        <v>0</v>
      </c>
      <c r="Q292" s="345">
        <v>0</v>
      </c>
      <c r="R292" s="345">
        <v>0</v>
      </c>
      <c r="S292" s="345">
        <v>0</v>
      </c>
      <c r="T292" s="345">
        <v>0</v>
      </c>
      <c r="U292" s="345">
        <v>0</v>
      </c>
      <c r="V292" s="345">
        <v>0</v>
      </c>
      <c r="W292" s="345">
        <v>0</v>
      </c>
      <c r="X292" s="345">
        <v>0</v>
      </c>
      <c r="Y292" s="380">
        <v>0</v>
      </c>
      <c r="Z292" s="296">
        <f t="shared" si="115"/>
        <v>0</v>
      </c>
      <c r="AA292" s="298">
        <f t="shared" si="116"/>
        <v>0</v>
      </c>
      <c r="AB292" s="948">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49">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6">
        <f t="shared" si="117"/>
        <v>0</v>
      </c>
      <c r="AE292" s="1230">
        <f t="shared" si="110"/>
        <v>0</v>
      </c>
      <c r="AF292" s="1231">
        <f t="shared" si="111"/>
        <v>0</v>
      </c>
      <c r="AG292" s="1231">
        <f t="shared" si="112"/>
        <v>0</v>
      </c>
      <c r="AH292" s="1172">
        <f t="shared" si="118"/>
        <v>0</v>
      </c>
      <c r="AI292" s="1232">
        <f t="shared" si="119"/>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13"/>
        <v>0</v>
      </c>
      <c r="N293" s="298">
        <f t="shared" si="114"/>
        <v>0</v>
      </c>
      <c r="O293" s="344">
        <v>0</v>
      </c>
      <c r="P293" s="345">
        <v>0</v>
      </c>
      <c r="Q293" s="345">
        <v>0</v>
      </c>
      <c r="R293" s="345">
        <v>0</v>
      </c>
      <c r="S293" s="345">
        <v>0</v>
      </c>
      <c r="T293" s="345">
        <v>0</v>
      </c>
      <c r="U293" s="345">
        <v>0</v>
      </c>
      <c r="V293" s="345">
        <v>0</v>
      </c>
      <c r="W293" s="345">
        <v>0</v>
      </c>
      <c r="X293" s="345">
        <v>0</v>
      </c>
      <c r="Y293" s="380">
        <v>0</v>
      </c>
      <c r="Z293" s="296">
        <f t="shared" si="115"/>
        <v>0</v>
      </c>
      <c r="AA293" s="298">
        <f t="shared" si="116"/>
        <v>0</v>
      </c>
      <c r="AB293" s="948">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49">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6">
        <f t="shared" si="117"/>
        <v>0</v>
      </c>
      <c r="AE293" s="1230">
        <f t="shared" si="110"/>
        <v>0</v>
      </c>
      <c r="AF293" s="1231">
        <f t="shared" si="111"/>
        <v>0</v>
      </c>
      <c r="AG293" s="1231">
        <f t="shared" si="112"/>
        <v>0</v>
      </c>
      <c r="AH293" s="1172">
        <f t="shared" si="118"/>
        <v>0</v>
      </c>
      <c r="AI293" s="1232">
        <f t="shared" si="119"/>
        <v>0</v>
      </c>
    </row>
    <row r="294" spans="1:35" ht="13.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13"/>
        <v>0</v>
      </c>
      <c r="N294" s="312">
        <f t="shared" si="114"/>
        <v>0</v>
      </c>
      <c r="O294" s="346">
        <v>0</v>
      </c>
      <c r="P294" s="347">
        <v>0</v>
      </c>
      <c r="Q294" s="347">
        <v>0</v>
      </c>
      <c r="R294" s="347">
        <v>0</v>
      </c>
      <c r="S294" s="347">
        <v>0</v>
      </c>
      <c r="T294" s="347">
        <v>0</v>
      </c>
      <c r="U294" s="347">
        <v>0</v>
      </c>
      <c r="V294" s="347">
        <v>0</v>
      </c>
      <c r="W294" s="347">
        <v>0</v>
      </c>
      <c r="X294" s="347">
        <v>0</v>
      </c>
      <c r="Y294" s="381">
        <v>0</v>
      </c>
      <c r="Z294" s="310">
        <f t="shared" si="115"/>
        <v>0</v>
      </c>
      <c r="AA294" s="312">
        <f t="shared" si="116"/>
        <v>0</v>
      </c>
      <c r="AB294" s="948">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49">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6">
        <f t="shared" si="117"/>
        <v>0</v>
      </c>
      <c r="AE294" s="1230">
        <f t="shared" si="110"/>
        <v>0</v>
      </c>
      <c r="AF294" s="1231">
        <f t="shared" si="111"/>
        <v>0</v>
      </c>
      <c r="AG294" s="1231">
        <f t="shared" si="112"/>
        <v>0</v>
      </c>
      <c r="AH294" s="1172">
        <f t="shared" si="118"/>
        <v>0</v>
      </c>
      <c r="AI294" s="1232">
        <f t="shared" si="119"/>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13"/>
        <v>0</v>
      </c>
      <c r="N295" s="284">
        <f t="shared" si="114"/>
        <v>0</v>
      </c>
      <c r="O295" s="342">
        <v>0</v>
      </c>
      <c r="P295" s="343">
        <v>0</v>
      </c>
      <c r="Q295" s="343">
        <v>0</v>
      </c>
      <c r="R295" s="343">
        <v>0</v>
      </c>
      <c r="S295" s="343">
        <v>0</v>
      </c>
      <c r="T295" s="343">
        <v>0</v>
      </c>
      <c r="U295" s="343">
        <v>0</v>
      </c>
      <c r="V295" s="343">
        <v>0</v>
      </c>
      <c r="W295" s="343">
        <v>0</v>
      </c>
      <c r="X295" s="343">
        <v>0</v>
      </c>
      <c r="Y295" s="379">
        <v>0</v>
      </c>
      <c r="Z295" s="282">
        <f t="shared" si="115"/>
        <v>0</v>
      </c>
      <c r="AA295" s="284">
        <f t="shared" si="116"/>
        <v>0</v>
      </c>
      <c r="AB295" s="948">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49">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6">
        <f t="shared" si="117"/>
        <v>0</v>
      </c>
      <c r="AE295" s="1230">
        <f t="shared" si="110"/>
        <v>0</v>
      </c>
      <c r="AF295" s="1231">
        <f t="shared" si="111"/>
        <v>0</v>
      </c>
      <c r="AG295" s="1231">
        <f t="shared" si="112"/>
        <v>0</v>
      </c>
      <c r="AH295" s="1172">
        <f t="shared" si="118"/>
        <v>0</v>
      </c>
      <c r="AI295" s="1232">
        <f t="shared" si="119"/>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13"/>
        <v>0</v>
      </c>
      <c r="N296" s="298">
        <f t="shared" si="114"/>
        <v>0</v>
      </c>
      <c r="O296" s="344">
        <v>0</v>
      </c>
      <c r="P296" s="345">
        <v>0</v>
      </c>
      <c r="Q296" s="345">
        <v>0</v>
      </c>
      <c r="R296" s="345">
        <v>0</v>
      </c>
      <c r="S296" s="345">
        <v>0</v>
      </c>
      <c r="T296" s="345">
        <v>0</v>
      </c>
      <c r="U296" s="345">
        <v>0</v>
      </c>
      <c r="V296" s="345">
        <v>0</v>
      </c>
      <c r="W296" s="345">
        <v>0</v>
      </c>
      <c r="X296" s="345">
        <v>0</v>
      </c>
      <c r="Y296" s="380">
        <v>0</v>
      </c>
      <c r="Z296" s="296">
        <f t="shared" si="115"/>
        <v>0</v>
      </c>
      <c r="AA296" s="298">
        <f t="shared" si="116"/>
        <v>0</v>
      </c>
      <c r="AB296" s="948">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49">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6">
        <f t="shared" si="117"/>
        <v>0</v>
      </c>
      <c r="AE296" s="1230">
        <f t="shared" si="110"/>
        <v>0</v>
      </c>
      <c r="AF296" s="1231">
        <f t="shared" si="111"/>
        <v>0</v>
      </c>
      <c r="AG296" s="1231">
        <f t="shared" si="112"/>
        <v>0</v>
      </c>
      <c r="AH296" s="1172">
        <f t="shared" si="118"/>
        <v>0</v>
      </c>
      <c r="AI296" s="1232">
        <f t="shared" si="119"/>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13"/>
        <v>0</v>
      </c>
      <c r="N297" s="298">
        <f t="shared" si="114"/>
        <v>0</v>
      </c>
      <c r="O297" s="344">
        <v>0</v>
      </c>
      <c r="P297" s="345">
        <v>0</v>
      </c>
      <c r="Q297" s="345">
        <v>0</v>
      </c>
      <c r="R297" s="345">
        <v>0</v>
      </c>
      <c r="S297" s="345">
        <v>0</v>
      </c>
      <c r="T297" s="345">
        <v>0</v>
      </c>
      <c r="U297" s="345">
        <v>0</v>
      </c>
      <c r="V297" s="345">
        <v>0</v>
      </c>
      <c r="W297" s="345">
        <v>0</v>
      </c>
      <c r="X297" s="345">
        <v>0</v>
      </c>
      <c r="Y297" s="380">
        <v>0</v>
      </c>
      <c r="Z297" s="296">
        <f t="shared" si="115"/>
        <v>0</v>
      </c>
      <c r="AA297" s="298">
        <f t="shared" si="116"/>
        <v>0</v>
      </c>
      <c r="AB297" s="948">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49">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6">
        <f t="shared" si="117"/>
        <v>0</v>
      </c>
      <c r="AE297" s="1230">
        <f t="shared" si="110"/>
        <v>0</v>
      </c>
      <c r="AF297" s="1231">
        <f t="shared" si="111"/>
        <v>0</v>
      </c>
      <c r="AG297" s="1231">
        <f t="shared" si="112"/>
        <v>0</v>
      </c>
      <c r="AH297" s="1172">
        <f t="shared" si="118"/>
        <v>0</v>
      </c>
      <c r="AI297" s="1232">
        <f t="shared" si="119"/>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13"/>
        <v>0</v>
      </c>
      <c r="N298" s="298">
        <f t="shared" si="114"/>
        <v>0</v>
      </c>
      <c r="O298" s="344">
        <v>0</v>
      </c>
      <c r="P298" s="345">
        <v>0</v>
      </c>
      <c r="Q298" s="345">
        <v>0</v>
      </c>
      <c r="R298" s="345">
        <v>0</v>
      </c>
      <c r="S298" s="345">
        <v>0</v>
      </c>
      <c r="T298" s="345">
        <v>0</v>
      </c>
      <c r="U298" s="345">
        <v>0</v>
      </c>
      <c r="V298" s="345">
        <v>0</v>
      </c>
      <c r="W298" s="345">
        <v>0</v>
      </c>
      <c r="X298" s="345">
        <v>0</v>
      </c>
      <c r="Y298" s="380">
        <v>0</v>
      </c>
      <c r="Z298" s="296">
        <f t="shared" si="115"/>
        <v>0</v>
      </c>
      <c r="AA298" s="298">
        <f t="shared" si="116"/>
        <v>0</v>
      </c>
      <c r="AB298" s="948">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49">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6">
        <f t="shared" si="117"/>
        <v>0</v>
      </c>
      <c r="AE298" s="1230">
        <f t="shared" si="110"/>
        <v>0</v>
      </c>
      <c r="AF298" s="1231">
        <f t="shared" si="111"/>
        <v>0</v>
      </c>
      <c r="AG298" s="1231">
        <f t="shared" si="112"/>
        <v>0</v>
      </c>
      <c r="AH298" s="1172">
        <f t="shared" si="118"/>
        <v>0</v>
      </c>
      <c r="AI298" s="1232">
        <f t="shared" si="119"/>
        <v>0</v>
      </c>
    </row>
    <row r="299" spans="1:35" ht="13.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13"/>
        <v>0</v>
      </c>
      <c r="N299" s="312">
        <f t="shared" si="114"/>
        <v>0</v>
      </c>
      <c r="O299" s="346">
        <v>0</v>
      </c>
      <c r="P299" s="347">
        <v>0</v>
      </c>
      <c r="Q299" s="347">
        <v>0</v>
      </c>
      <c r="R299" s="347">
        <v>0</v>
      </c>
      <c r="S299" s="347">
        <v>0</v>
      </c>
      <c r="T299" s="347">
        <v>0</v>
      </c>
      <c r="U299" s="347">
        <v>0</v>
      </c>
      <c r="V299" s="347">
        <v>0</v>
      </c>
      <c r="W299" s="347">
        <v>0</v>
      </c>
      <c r="X299" s="347">
        <v>0</v>
      </c>
      <c r="Y299" s="381">
        <v>0</v>
      </c>
      <c r="Z299" s="310">
        <f t="shared" si="115"/>
        <v>0</v>
      </c>
      <c r="AA299" s="312">
        <f t="shared" si="116"/>
        <v>0</v>
      </c>
      <c r="AB299" s="948">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49">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6">
        <f t="shared" si="117"/>
        <v>0</v>
      </c>
      <c r="AE299" s="1230">
        <f t="shared" si="110"/>
        <v>0</v>
      </c>
      <c r="AF299" s="1231">
        <f t="shared" si="111"/>
        <v>0</v>
      </c>
      <c r="AG299" s="1231">
        <f t="shared" si="112"/>
        <v>0</v>
      </c>
      <c r="AH299" s="1172">
        <f t="shared" si="118"/>
        <v>0</v>
      </c>
      <c r="AI299" s="1232">
        <f t="shared" si="119"/>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13"/>
        <v>0</v>
      </c>
      <c r="N300" s="284">
        <f t="shared" si="114"/>
        <v>0</v>
      </c>
      <c r="O300" s="342">
        <v>0</v>
      </c>
      <c r="P300" s="343">
        <v>0</v>
      </c>
      <c r="Q300" s="343">
        <v>0</v>
      </c>
      <c r="R300" s="343">
        <v>0</v>
      </c>
      <c r="S300" s="343">
        <v>0</v>
      </c>
      <c r="T300" s="343">
        <v>0</v>
      </c>
      <c r="U300" s="343">
        <v>0</v>
      </c>
      <c r="V300" s="343">
        <v>0</v>
      </c>
      <c r="W300" s="343">
        <v>0</v>
      </c>
      <c r="X300" s="343">
        <v>0</v>
      </c>
      <c r="Y300" s="379">
        <v>0</v>
      </c>
      <c r="Z300" s="282">
        <f t="shared" si="115"/>
        <v>0</v>
      </c>
      <c r="AA300" s="284">
        <f t="shared" si="116"/>
        <v>0</v>
      </c>
      <c r="AB300" s="948">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49">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6">
        <f t="shared" si="117"/>
        <v>0</v>
      </c>
      <c r="AE300" s="1230">
        <f t="shared" si="110"/>
        <v>0</v>
      </c>
      <c r="AF300" s="1231">
        <f t="shared" si="111"/>
        <v>0</v>
      </c>
      <c r="AG300" s="1231">
        <f t="shared" si="112"/>
        <v>0</v>
      </c>
      <c r="AH300" s="1172">
        <f t="shared" si="118"/>
        <v>0</v>
      </c>
      <c r="AI300" s="1232">
        <f t="shared" si="119"/>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13"/>
        <v>0</v>
      </c>
      <c r="N301" s="298">
        <f t="shared" si="114"/>
        <v>0</v>
      </c>
      <c r="O301" s="344">
        <v>0</v>
      </c>
      <c r="P301" s="345">
        <v>0</v>
      </c>
      <c r="Q301" s="345">
        <v>0</v>
      </c>
      <c r="R301" s="345">
        <v>0</v>
      </c>
      <c r="S301" s="345">
        <v>0</v>
      </c>
      <c r="T301" s="345">
        <v>0</v>
      </c>
      <c r="U301" s="345">
        <v>0</v>
      </c>
      <c r="V301" s="345">
        <v>0</v>
      </c>
      <c r="W301" s="345">
        <v>0</v>
      </c>
      <c r="X301" s="345">
        <v>0</v>
      </c>
      <c r="Y301" s="380">
        <v>0</v>
      </c>
      <c r="Z301" s="296">
        <f t="shared" si="115"/>
        <v>0</v>
      </c>
      <c r="AA301" s="298">
        <f t="shared" si="116"/>
        <v>0</v>
      </c>
      <c r="AB301" s="948">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49">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6">
        <f t="shared" si="117"/>
        <v>0</v>
      </c>
      <c r="AE301" s="1230">
        <f>SUMPRODUCT($B$74:$L$74,B301:L301)</f>
        <v>0</v>
      </c>
      <c r="AF301" s="1231">
        <f>SUMPRODUCT($O$74:$Y$74,O301:Y301)</f>
        <v>0</v>
      </c>
      <c r="AG301" s="1231">
        <f>SUM(AE301:AF301)</f>
        <v>0</v>
      </c>
      <c r="AH301" s="1172">
        <f t="shared" si="118"/>
        <v>0</v>
      </c>
      <c r="AI301" s="1232">
        <f t="shared" si="119"/>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13"/>
        <v>0</v>
      </c>
      <c r="N302" s="298">
        <f t="shared" si="114"/>
        <v>0</v>
      </c>
      <c r="O302" s="344">
        <v>0</v>
      </c>
      <c r="P302" s="345">
        <v>0</v>
      </c>
      <c r="Q302" s="345">
        <v>0</v>
      </c>
      <c r="R302" s="345">
        <v>0</v>
      </c>
      <c r="S302" s="345">
        <v>0</v>
      </c>
      <c r="T302" s="345">
        <v>0</v>
      </c>
      <c r="U302" s="345">
        <v>0</v>
      </c>
      <c r="V302" s="345">
        <v>0</v>
      </c>
      <c r="W302" s="345">
        <v>0</v>
      </c>
      <c r="X302" s="345">
        <v>0</v>
      </c>
      <c r="Y302" s="380">
        <v>0</v>
      </c>
      <c r="Z302" s="296">
        <f t="shared" si="115"/>
        <v>0</v>
      </c>
      <c r="AA302" s="298">
        <f t="shared" si="116"/>
        <v>0</v>
      </c>
      <c r="AB302" s="948">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49">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6">
        <f t="shared" si="117"/>
        <v>0</v>
      </c>
      <c r="AE302" s="1230">
        <f t="shared" ref="AE302:AE329" si="120">SUMPRODUCT($B$74:$L$74,B302:L302)</f>
        <v>0</v>
      </c>
      <c r="AF302" s="1231">
        <f t="shared" ref="AF302:AF329" si="121">SUMPRODUCT($O$74:$Y$74,O302:Y302)</f>
        <v>0</v>
      </c>
      <c r="AG302" s="1231">
        <f t="shared" ref="AG302:AG329" si="122">SUM(AE302:AF302)</f>
        <v>0</v>
      </c>
      <c r="AH302" s="1172">
        <f t="shared" si="118"/>
        <v>0</v>
      </c>
      <c r="AI302" s="1232">
        <f t="shared" si="119"/>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13"/>
        <v>0</v>
      </c>
      <c r="N303" s="298">
        <f t="shared" si="114"/>
        <v>0</v>
      </c>
      <c r="O303" s="344">
        <v>0</v>
      </c>
      <c r="P303" s="345">
        <v>0</v>
      </c>
      <c r="Q303" s="345">
        <v>0</v>
      </c>
      <c r="R303" s="345">
        <v>0</v>
      </c>
      <c r="S303" s="345">
        <v>0</v>
      </c>
      <c r="T303" s="345">
        <v>0</v>
      </c>
      <c r="U303" s="345">
        <v>0</v>
      </c>
      <c r="V303" s="345">
        <v>0</v>
      </c>
      <c r="W303" s="345">
        <v>0</v>
      </c>
      <c r="X303" s="345">
        <v>0</v>
      </c>
      <c r="Y303" s="380">
        <v>0</v>
      </c>
      <c r="Z303" s="296">
        <f t="shared" si="115"/>
        <v>0</v>
      </c>
      <c r="AA303" s="298">
        <f t="shared" si="116"/>
        <v>0</v>
      </c>
      <c r="AB303" s="948">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49">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6">
        <f t="shared" si="117"/>
        <v>0</v>
      </c>
      <c r="AE303" s="1230">
        <f t="shared" si="120"/>
        <v>0</v>
      </c>
      <c r="AF303" s="1231">
        <f t="shared" si="121"/>
        <v>0</v>
      </c>
      <c r="AG303" s="1231">
        <f t="shared" si="122"/>
        <v>0</v>
      </c>
      <c r="AH303" s="1172">
        <f t="shared" si="118"/>
        <v>0</v>
      </c>
      <c r="AI303" s="1232">
        <f t="shared" si="119"/>
        <v>0</v>
      </c>
    </row>
    <row r="304" spans="1:35" ht="13.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13"/>
        <v>0</v>
      </c>
      <c r="N304" s="312">
        <f t="shared" si="114"/>
        <v>0</v>
      </c>
      <c r="O304" s="346">
        <v>0</v>
      </c>
      <c r="P304" s="347">
        <v>0</v>
      </c>
      <c r="Q304" s="347">
        <v>0</v>
      </c>
      <c r="R304" s="347">
        <v>0</v>
      </c>
      <c r="S304" s="347">
        <v>0</v>
      </c>
      <c r="T304" s="347">
        <v>0</v>
      </c>
      <c r="U304" s="347">
        <v>0</v>
      </c>
      <c r="V304" s="347">
        <v>0</v>
      </c>
      <c r="W304" s="347">
        <v>0</v>
      </c>
      <c r="X304" s="347">
        <v>0</v>
      </c>
      <c r="Y304" s="381">
        <v>0</v>
      </c>
      <c r="Z304" s="310">
        <f t="shared" si="115"/>
        <v>0</v>
      </c>
      <c r="AA304" s="312">
        <f t="shared" si="116"/>
        <v>0</v>
      </c>
      <c r="AB304" s="948">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49">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6">
        <f t="shared" si="117"/>
        <v>0</v>
      </c>
      <c r="AE304" s="1230">
        <f t="shared" si="120"/>
        <v>0</v>
      </c>
      <c r="AF304" s="1231">
        <f t="shared" si="121"/>
        <v>0</v>
      </c>
      <c r="AG304" s="1231">
        <f t="shared" si="122"/>
        <v>0</v>
      </c>
      <c r="AH304" s="1172">
        <f t="shared" si="118"/>
        <v>0</v>
      </c>
      <c r="AI304" s="1232">
        <f t="shared" si="119"/>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13"/>
        <v>0</v>
      </c>
      <c r="N305" s="284">
        <f t="shared" si="114"/>
        <v>0</v>
      </c>
      <c r="O305" s="342">
        <v>0</v>
      </c>
      <c r="P305" s="343">
        <v>0</v>
      </c>
      <c r="Q305" s="343">
        <v>0</v>
      </c>
      <c r="R305" s="343">
        <v>0</v>
      </c>
      <c r="S305" s="343">
        <v>0</v>
      </c>
      <c r="T305" s="343">
        <v>0</v>
      </c>
      <c r="U305" s="343">
        <v>0</v>
      </c>
      <c r="V305" s="343">
        <v>0</v>
      </c>
      <c r="W305" s="343">
        <v>0</v>
      </c>
      <c r="X305" s="343">
        <v>0</v>
      </c>
      <c r="Y305" s="379">
        <v>0</v>
      </c>
      <c r="Z305" s="282">
        <f t="shared" si="115"/>
        <v>0</v>
      </c>
      <c r="AA305" s="284">
        <f t="shared" si="116"/>
        <v>0</v>
      </c>
      <c r="AB305" s="948">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49">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6">
        <f t="shared" si="117"/>
        <v>0</v>
      </c>
      <c r="AE305" s="1230">
        <f t="shared" si="120"/>
        <v>0</v>
      </c>
      <c r="AF305" s="1231">
        <f t="shared" si="121"/>
        <v>0</v>
      </c>
      <c r="AG305" s="1231">
        <f t="shared" si="122"/>
        <v>0</v>
      </c>
      <c r="AH305" s="1172">
        <f t="shared" si="118"/>
        <v>0</v>
      </c>
      <c r="AI305" s="1232">
        <f t="shared" si="119"/>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13"/>
        <v>0</v>
      </c>
      <c r="N306" s="298">
        <f t="shared" si="114"/>
        <v>0</v>
      </c>
      <c r="O306" s="344">
        <v>0</v>
      </c>
      <c r="P306" s="345">
        <v>0</v>
      </c>
      <c r="Q306" s="345">
        <v>0</v>
      </c>
      <c r="R306" s="345">
        <v>0</v>
      </c>
      <c r="S306" s="345">
        <v>0</v>
      </c>
      <c r="T306" s="345">
        <v>0</v>
      </c>
      <c r="U306" s="345">
        <v>0</v>
      </c>
      <c r="V306" s="345">
        <v>0</v>
      </c>
      <c r="W306" s="345">
        <v>0</v>
      </c>
      <c r="X306" s="345">
        <v>0</v>
      </c>
      <c r="Y306" s="380">
        <v>0</v>
      </c>
      <c r="Z306" s="296">
        <f t="shared" si="115"/>
        <v>0</v>
      </c>
      <c r="AA306" s="298">
        <f t="shared" si="116"/>
        <v>0</v>
      </c>
      <c r="AB306" s="948">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49">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6">
        <f t="shared" si="117"/>
        <v>0</v>
      </c>
      <c r="AE306" s="1230">
        <f t="shared" si="120"/>
        <v>0</v>
      </c>
      <c r="AF306" s="1231">
        <f t="shared" si="121"/>
        <v>0</v>
      </c>
      <c r="AG306" s="1231">
        <f t="shared" si="122"/>
        <v>0</v>
      </c>
      <c r="AH306" s="1172">
        <f t="shared" si="118"/>
        <v>0</v>
      </c>
      <c r="AI306" s="1232">
        <f t="shared" si="119"/>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13"/>
        <v>0</v>
      </c>
      <c r="N307" s="298">
        <f t="shared" si="114"/>
        <v>0</v>
      </c>
      <c r="O307" s="344">
        <v>0</v>
      </c>
      <c r="P307" s="345">
        <v>0</v>
      </c>
      <c r="Q307" s="345">
        <v>0</v>
      </c>
      <c r="R307" s="345">
        <v>0</v>
      </c>
      <c r="S307" s="345">
        <v>0</v>
      </c>
      <c r="T307" s="345">
        <v>0</v>
      </c>
      <c r="U307" s="345">
        <v>0</v>
      </c>
      <c r="V307" s="345">
        <v>0</v>
      </c>
      <c r="W307" s="345">
        <v>0</v>
      </c>
      <c r="X307" s="345">
        <v>0</v>
      </c>
      <c r="Y307" s="380">
        <v>0</v>
      </c>
      <c r="Z307" s="296">
        <f t="shared" si="115"/>
        <v>0</v>
      </c>
      <c r="AA307" s="298">
        <f t="shared" si="116"/>
        <v>0</v>
      </c>
      <c r="AB307" s="948">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49">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6">
        <f t="shared" si="117"/>
        <v>0</v>
      </c>
      <c r="AE307" s="1230">
        <f t="shared" si="120"/>
        <v>0</v>
      </c>
      <c r="AF307" s="1231">
        <f t="shared" si="121"/>
        <v>0</v>
      </c>
      <c r="AG307" s="1231">
        <f t="shared" si="122"/>
        <v>0</v>
      </c>
      <c r="AH307" s="1172">
        <f t="shared" si="118"/>
        <v>0</v>
      </c>
      <c r="AI307" s="1232">
        <f t="shared" si="119"/>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13"/>
        <v>0</v>
      </c>
      <c r="N308" s="298">
        <f t="shared" si="114"/>
        <v>0</v>
      </c>
      <c r="O308" s="344">
        <v>0</v>
      </c>
      <c r="P308" s="345">
        <v>0</v>
      </c>
      <c r="Q308" s="345">
        <v>0</v>
      </c>
      <c r="R308" s="345">
        <v>0</v>
      </c>
      <c r="S308" s="345">
        <v>0</v>
      </c>
      <c r="T308" s="345">
        <v>0</v>
      </c>
      <c r="U308" s="345">
        <v>0</v>
      </c>
      <c r="V308" s="345">
        <v>0</v>
      </c>
      <c r="W308" s="345">
        <v>0</v>
      </c>
      <c r="X308" s="345">
        <v>0</v>
      </c>
      <c r="Y308" s="380">
        <v>0</v>
      </c>
      <c r="Z308" s="296">
        <f t="shared" si="115"/>
        <v>0</v>
      </c>
      <c r="AA308" s="298">
        <f t="shared" si="116"/>
        <v>0</v>
      </c>
      <c r="AB308" s="948">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49">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6">
        <f t="shared" si="117"/>
        <v>0</v>
      </c>
      <c r="AE308" s="1230">
        <f t="shared" si="120"/>
        <v>0</v>
      </c>
      <c r="AF308" s="1231">
        <f t="shared" si="121"/>
        <v>0</v>
      </c>
      <c r="AG308" s="1231">
        <f t="shared" si="122"/>
        <v>0</v>
      </c>
      <c r="AH308" s="1172">
        <f t="shared" si="118"/>
        <v>0</v>
      </c>
      <c r="AI308" s="1232">
        <f t="shared" si="119"/>
        <v>0</v>
      </c>
    </row>
    <row r="309" spans="1:35" ht="13.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13"/>
        <v>0</v>
      </c>
      <c r="N309" s="312">
        <f t="shared" si="114"/>
        <v>0</v>
      </c>
      <c r="O309" s="346">
        <v>0</v>
      </c>
      <c r="P309" s="347">
        <v>0</v>
      </c>
      <c r="Q309" s="347">
        <v>0</v>
      </c>
      <c r="R309" s="347">
        <v>0</v>
      </c>
      <c r="S309" s="347">
        <v>0</v>
      </c>
      <c r="T309" s="347">
        <v>0</v>
      </c>
      <c r="U309" s="347">
        <v>0</v>
      </c>
      <c r="V309" s="347">
        <v>0</v>
      </c>
      <c r="W309" s="347">
        <v>0</v>
      </c>
      <c r="X309" s="347">
        <v>0</v>
      </c>
      <c r="Y309" s="381">
        <v>0</v>
      </c>
      <c r="Z309" s="310">
        <f t="shared" si="115"/>
        <v>0</v>
      </c>
      <c r="AA309" s="312">
        <f t="shared" si="116"/>
        <v>0</v>
      </c>
      <c r="AB309" s="948">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49">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6">
        <f t="shared" si="117"/>
        <v>0</v>
      </c>
      <c r="AE309" s="1230">
        <f t="shared" si="120"/>
        <v>0</v>
      </c>
      <c r="AF309" s="1231">
        <f t="shared" si="121"/>
        <v>0</v>
      </c>
      <c r="AG309" s="1231">
        <f t="shared" si="122"/>
        <v>0</v>
      </c>
      <c r="AH309" s="1172">
        <f t="shared" si="118"/>
        <v>0</v>
      </c>
      <c r="AI309" s="1232">
        <f t="shared" si="119"/>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13"/>
        <v>0</v>
      </c>
      <c r="N310" s="284">
        <f t="shared" si="114"/>
        <v>0</v>
      </c>
      <c r="O310" s="342">
        <v>0</v>
      </c>
      <c r="P310" s="343">
        <v>0</v>
      </c>
      <c r="Q310" s="343">
        <v>0</v>
      </c>
      <c r="R310" s="343">
        <v>0</v>
      </c>
      <c r="S310" s="343">
        <v>0</v>
      </c>
      <c r="T310" s="343">
        <v>0</v>
      </c>
      <c r="U310" s="343">
        <v>0</v>
      </c>
      <c r="V310" s="343">
        <v>0</v>
      </c>
      <c r="W310" s="343">
        <v>0</v>
      </c>
      <c r="X310" s="343">
        <v>0</v>
      </c>
      <c r="Y310" s="379">
        <v>0</v>
      </c>
      <c r="Z310" s="282">
        <f t="shared" si="115"/>
        <v>0</v>
      </c>
      <c r="AA310" s="284">
        <f t="shared" si="116"/>
        <v>0</v>
      </c>
      <c r="AB310" s="948">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49">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6">
        <f t="shared" si="117"/>
        <v>0</v>
      </c>
      <c r="AE310" s="1230">
        <f t="shared" si="120"/>
        <v>0</v>
      </c>
      <c r="AF310" s="1231">
        <f t="shared" si="121"/>
        <v>0</v>
      </c>
      <c r="AG310" s="1231">
        <f t="shared" si="122"/>
        <v>0</v>
      </c>
      <c r="AH310" s="1172">
        <f t="shared" si="118"/>
        <v>0</v>
      </c>
      <c r="AI310" s="1232">
        <f t="shared" si="119"/>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13"/>
        <v>0</v>
      </c>
      <c r="N311" s="298">
        <f t="shared" si="114"/>
        <v>0</v>
      </c>
      <c r="O311" s="344">
        <v>0</v>
      </c>
      <c r="P311" s="345">
        <v>0</v>
      </c>
      <c r="Q311" s="345">
        <v>0</v>
      </c>
      <c r="R311" s="345">
        <v>0</v>
      </c>
      <c r="S311" s="345">
        <v>0</v>
      </c>
      <c r="T311" s="345">
        <v>0</v>
      </c>
      <c r="U311" s="345">
        <v>0</v>
      </c>
      <c r="V311" s="345">
        <v>0</v>
      </c>
      <c r="W311" s="345">
        <v>0</v>
      </c>
      <c r="X311" s="345">
        <v>0</v>
      </c>
      <c r="Y311" s="380">
        <v>0</v>
      </c>
      <c r="Z311" s="296">
        <f t="shared" si="115"/>
        <v>0</v>
      </c>
      <c r="AA311" s="298">
        <f t="shared" si="116"/>
        <v>0</v>
      </c>
      <c r="AB311" s="948">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49">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6">
        <f t="shared" si="117"/>
        <v>0</v>
      </c>
      <c r="AE311" s="1230">
        <f t="shared" si="120"/>
        <v>0</v>
      </c>
      <c r="AF311" s="1231">
        <f t="shared" si="121"/>
        <v>0</v>
      </c>
      <c r="AG311" s="1231">
        <f t="shared" si="122"/>
        <v>0</v>
      </c>
      <c r="AH311" s="1172">
        <f t="shared" si="118"/>
        <v>0</v>
      </c>
      <c r="AI311" s="1232">
        <f t="shared" si="119"/>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13"/>
        <v>0</v>
      </c>
      <c r="N312" s="298">
        <f t="shared" si="114"/>
        <v>0</v>
      </c>
      <c r="O312" s="344">
        <v>0</v>
      </c>
      <c r="P312" s="345">
        <v>0</v>
      </c>
      <c r="Q312" s="345">
        <v>0</v>
      </c>
      <c r="R312" s="345">
        <v>0</v>
      </c>
      <c r="S312" s="345">
        <v>0</v>
      </c>
      <c r="T312" s="345">
        <v>0</v>
      </c>
      <c r="U312" s="345">
        <v>0</v>
      </c>
      <c r="V312" s="345">
        <v>0</v>
      </c>
      <c r="W312" s="345">
        <v>0</v>
      </c>
      <c r="X312" s="345">
        <v>0</v>
      </c>
      <c r="Y312" s="380">
        <v>0</v>
      </c>
      <c r="Z312" s="296">
        <f t="shared" si="115"/>
        <v>0</v>
      </c>
      <c r="AA312" s="298">
        <f t="shared" si="116"/>
        <v>0</v>
      </c>
      <c r="AB312" s="948">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49">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6">
        <f>AB312*AH312+AC312*AI312</f>
        <v>0</v>
      </c>
      <c r="AE312" s="1230">
        <f t="shared" si="120"/>
        <v>0</v>
      </c>
      <c r="AF312" s="1231">
        <f t="shared" si="121"/>
        <v>0</v>
      </c>
      <c r="AG312" s="1231">
        <f t="shared" si="122"/>
        <v>0</v>
      </c>
      <c r="AH312" s="1172">
        <f t="shared" si="118"/>
        <v>0</v>
      </c>
      <c r="AI312" s="1232">
        <f t="shared" si="119"/>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13"/>
        <v>0</v>
      </c>
      <c r="N313" s="298">
        <f t="shared" si="114"/>
        <v>0</v>
      </c>
      <c r="O313" s="344">
        <v>0</v>
      </c>
      <c r="P313" s="345">
        <v>0</v>
      </c>
      <c r="Q313" s="345">
        <v>0</v>
      </c>
      <c r="R313" s="345">
        <v>0</v>
      </c>
      <c r="S313" s="345">
        <v>0</v>
      </c>
      <c r="T313" s="345">
        <v>0</v>
      </c>
      <c r="U313" s="345">
        <v>0</v>
      </c>
      <c r="V313" s="345">
        <v>0</v>
      </c>
      <c r="W313" s="345">
        <v>0</v>
      </c>
      <c r="X313" s="345">
        <v>0</v>
      </c>
      <c r="Y313" s="380">
        <v>0</v>
      </c>
      <c r="Z313" s="296">
        <f t="shared" si="115"/>
        <v>0</v>
      </c>
      <c r="AA313" s="298">
        <f t="shared" si="116"/>
        <v>0</v>
      </c>
      <c r="AB313" s="948">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49">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6">
        <f t="shared" ref="AD313:AD329" si="123">AB313*AH313+AC313*AI313</f>
        <v>0</v>
      </c>
      <c r="AE313" s="1230">
        <f t="shared" si="120"/>
        <v>0</v>
      </c>
      <c r="AF313" s="1231">
        <f t="shared" si="121"/>
        <v>0</v>
      </c>
      <c r="AG313" s="1231">
        <f t="shared" si="122"/>
        <v>0</v>
      </c>
      <c r="AH313" s="1172">
        <f t="shared" si="118"/>
        <v>0</v>
      </c>
      <c r="AI313" s="1232">
        <f t="shared" si="119"/>
        <v>0</v>
      </c>
    </row>
    <row r="314" spans="1:35" ht="13.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13"/>
        <v>0</v>
      </c>
      <c r="N314" s="312">
        <f t="shared" si="114"/>
        <v>0</v>
      </c>
      <c r="O314" s="346">
        <v>0</v>
      </c>
      <c r="P314" s="347">
        <v>0</v>
      </c>
      <c r="Q314" s="347">
        <v>0</v>
      </c>
      <c r="R314" s="347">
        <v>0</v>
      </c>
      <c r="S314" s="347">
        <v>0</v>
      </c>
      <c r="T314" s="347">
        <v>0</v>
      </c>
      <c r="U314" s="347">
        <v>0</v>
      </c>
      <c r="V314" s="347">
        <v>0</v>
      </c>
      <c r="W314" s="347">
        <v>0</v>
      </c>
      <c r="X314" s="347">
        <v>0</v>
      </c>
      <c r="Y314" s="381">
        <v>0</v>
      </c>
      <c r="Z314" s="310">
        <f t="shared" si="115"/>
        <v>0</v>
      </c>
      <c r="AA314" s="312">
        <f t="shared" si="116"/>
        <v>0</v>
      </c>
      <c r="AB314" s="948">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49">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6">
        <f t="shared" si="123"/>
        <v>0</v>
      </c>
      <c r="AE314" s="1230">
        <f t="shared" si="120"/>
        <v>0</v>
      </c>
      <c r="AF314" s="1231">
        <f t="shared" si="121"/>
        <v>0</v>
      </c>
      <c r="AG314" s="1231">
        <f t="shared" si="122"/>
        <v>0</v>
      </c>
      <c r="AH314" s="1172">
        <f t="shared" si="118"/>
        <v>0</v>
      </c>
      <c r="AI314" s="1232">
        <f t="shared" si="119"/>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13"/>
        <v>0</v>
      </c>
      <c r="N315" s="284">
        <f t="shared" si="114"/>
        <v>0</v>
      </c>
      <c r="O315" s="342">
        <v>0</v>
      </c>
      <c r="P315" s="343">
        <v>0</v>
      </c>
      <c r="Q315" s="343">
        <v>0</v>
      </c>
      <c r="R315" s="343">
        <v>0</v>
      </c>
      <c r="S315" s="343">
        <v>0</v>
      </c>
      <c r="T315" s="343">
        <v>0</v>
      </c>
      <c r="U315" s="343">
        <v>0</v>
      </c>
      <c r="V315" s="343">
        <v>0</v>
      </c>
      <c r="W315" s="343">
        <v>0</v>
      </c>
      <c r="X315" s="343">
        <v>0</v>
      </c>
      <c r="Y315" s="379">
        <v>0</v>
      </c>
      <c r="Z315" s="282">
        <f t="shared" si="115"/>
        <v>0</v>
      </c>
      <c r="AA315" s="284">
        <f t="shared" si="116"/>
        <v>0</v>
      </c>
      <c r="AB315" s="948">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49">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6">
        <f t="shared" si="123"/>
        <v>0</v>
      </c>
      <c r="AE315" s="1230">
        <f t="shared" si="120"/>
        <v>0</v>
      </c>
      <c r="AF315" s="1231">
        <f t="shared" si="121"/>
        <v>0</v>
      </c>
      <c r="AG315" s="1231">
        <f t="shared" si="122"/>
        <v>0</v>
      </c>
      <c r="AH315" s="1172">
        <f t="shared" si="118"/>
        <v>0</v>
      </c>
      <c r="AI315" s="1232">
        <f t="shared" si="119"/>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13"/>
        <v>0</v>
      </c>
      <c r="N316" s="298">
        <f t="shared" si="114"/>
        <v>0</v>
      </c>
      <c r="O316" s="344">
        <v>0</v>
      </c>
      <c r="P316" s="345">
        <v>0</v>
      </c>
      <c r="Q316" s="345">
        <v>0</v>
      </c>
      <c r="R316" s="345">
        <v>0</v>
      </c>
      <c r="S316" s="345">
        <v>0</v>
      </c>
      <c r="T316" s="345">
        <v>0</v>
      </c>
      <c r="U316" s="345">
        <v>0</v>
      </c>
      <c r="V316" s="345">
        <v>0</v>
      </c>
      <c r="W316" s="345">
        <v>0</v>
      </c>
      <c r="X316" s="345">
        <v>0</v>
      </c>
      <c r="Y316" s="380">
        <v>0</v>
      </c>
      <c r="Z316" s="296">
        <f t="shared" si="115"/>
        <v>0</v>
      </c>
      <c r="AA316" s="298">
        <f t="shared" si="116"/>
        <v>0</v>
      </c>
      <c r="AB316" s="948">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49">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6">
        <f t="shared" si="123"/>
        <v>0</v>
      </c>
      <c r="AE316" s="1230">
        <f t="shared" si="120"/>
        <v>0</v>
      </c>
      <c r="AF316" s="1231">
        <f t="shared" si="121"/>
        <v>0</v>
      </c>
      <c r="AG316" s="1231">
        <f t="shared" si="122"/>
        <v>0</v>
      </c>
      <c r="AH316" s="1172">
        <f t="shared" si="118"/>
        <v>0</v>
      </c>
      <c r="AI316" s="1232">
        <f t="shared" si="119"/>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13"/>
        <v>0</v>
      </c>
      <c r="N317" s="298">
        <f t="shared" si="114"/>
        <v>0</v>
      </c>
      <c r="O317" s="344">
        <v>0</v>
      </c>
      <c r="P317" s="345">
        <v>0</v>
      </c>
      <c r="Q317" s="345">
        <v>0</v>
      </c>
      <c r="R317" s="345">
        <v>0</v>
      </c>
      <c r="S317" s="345">
        <v>0</v>
      </c>
      <c r="T317" s="345">
        <v>0</v>
      </c>
      <c r="U317" s="345">
        <v>0</v>
      </c>
      <c r="V317" s="345">
        <v>0</v>
      </c>
      <c r="W317" s="345">
        <v>0</v>
      </c>
      <c r="X317" s="345">
        <v>0</v>
      </c>
      <c r="Y317" s="380">
        <v>0</v>
      </c>
      <c r="Z317" s="296">
        <f t="shared" si="115"/>
        <v>0</v>
      </c>
      <c r="AA317" s="298">
        <f t="shared" si="116"/>
        <v>0</v>
      </c>
      <c r="AB317" s="948">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49">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6">
        <f t="shared" si="123"/>
        <v>0</v>
      </c>
      <c r="AE317" s="1230">
        <f t="shared" si="120"/>
        <v>0</v>
      </c>
      <c r="AF317" s="1231">
        <f t="shared" si="121"/>
        <v>0</v>
      </c>
      <c r="AG317" s="1231">
        <f t="shared" si="122"/>
        <v>0</v>
      </c>
      <c r="AH317" s="1172">
        <f t="shared" si="118"/>
        <v>0</v>
      </c>
      <c r="AI317" s="1232">
        <f t="shared" si="119"/>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13"/>
        <v>0</v>
      </c>
      <c r="N318" s="298">
        <f t="shared" si="114"/>
        <v>0</v>
      </c>
      <c r="O318" s="344">
        <v>0</v>
      </c>
      <c r="P318" s="345">
        <v>0</v>
      </c>
      <c r="Q318" s="345">
        <v>0</v>
      </c>
      <c r="R318" s="345">
        <v>0</v>
      </c>
      <c r="S318" s="345">
        <v>0</v>
      </c>
      <c r="T318" s="345">
        <v>0</v>
      </c>
      <c r="U318" s="345">
        <v>0</v>
      </c>
      <c r="V318" s="345">
        <v>0</v>
      </c>
      <c r="W318" s="345">
        <v>0</v>
      </c>
      <c r="X318" s="345">
        <v>0</v>
      </c>
      <c r="Y318" s="380">
        <v>0</v>
      </c>
      <c r="Z318" s="296">
        <f t="shared" si="115"/>
        <v>0</v>
      </c>
      <c r="AA318" s="298">
        <f t="shared" si="116"/>
        <v>0</v>
      </c>
      <c r="AB318" s="948">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49">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6">
        <f t="shared" si="123"/>
        <v>0</v>
      </c>
      <c r="AE318" s="1230">
        <f t="shared" si="120"/>
        <v>0</v>
      </c>
      <c r="AF318" s="1231">
        <f t="shared" si="121"/>
        <v>0</v>
      </c>
      <c r="AG318" s="1231">
        <f t="shared" si="122"/>
        <v>0</v>
      </c>
      <c r="AH318" s="1172">
        <f t="shared" si="118"/>
        <v>0</v>
      </c>
      <c r="AI318" s="1232">
        <f t="shared" si="119"/>
        <v>0</v>
      </c>
    </row>
    <row r="319" spans="1:35" ht="13.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13"/>
        <v>0</v>
      </c>
      <c r="N319" s="312">
        <f t="shared" si="114"/>
        <v>0</v>
      </c>
      <c r="O319" s="346">
        <v>0</v>
      </c>
      <c r="P319" s="347">
        <v>0</v>
      </c>
      <c r="Q319" s="347">
        <v>0</v>
      </c>
      <c r="R319" s="347">
        <v>0</v>
      </c>
      <c r="S319" s="347">
        <v>0</v>
      </c>
      <c r="T319" s="347">
        <v>0</v>
      </c>
      <c r="U319" s="347">
        <v>0</v>
      </c>
      <c r="V319" s="347">
        <v>0</v>
      </c>
      <c r="W319" s="347">
        <v>0</v>
      </c>
      <c r="X319" s="347">
        <v>0</v>
      </c>
      <c r="Y319" s="381">
        <v>0</v>
      </c>
      <c r="Z319" s="310">
        <f t="shared" si="115"/>
        <v>0</v>
      </c>
      <c r="AA319" s="312">
        <f t="shared" si="116"/>
        <v>0</v>
      </c>
      <c r="AB319" s="948">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49">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6">
        <f t="shared" si="123"/>
        <v>0</v>
      </c>
      <c r="AE319" s="1230">
        <f t="shared" si="120"/>
        <v>0</v>
      </c>
      <c r="AF319" s="1231">
        <f t="shared" si="121"/>
        <v>0</v>
      </c>
      <c r="AG319" s="1231">
        <f t="shared" si="122"/>
        <v>0</v>
      </c>
      <c r="AH319" s="1172">
        <f t="shared" si="118"/>
        <v>0</v>
      </c>
      <c r="AI319" s="1232">
        <f t="shared" si="119"/>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13"/>
        <v>0</v>
      </c>
      <c r="N320" s="284">
        <f t="shared" si="114"/>
        <v>0</v>
      </c>
      <c r="O320" s="342">
        <v>0</v>
      </c>
      <c r="P320" s="343">
        <v>0</v>
      </c>
      <c r="Q320" s="343">
        <v>0</v>
      </c>
      <c r="R320" s="343">
        <v>0</v>
      </c>
      <c r="S320" s="343">
        <v>0</v>
      </c>
      <c r="T320" s="343">
        <v>0</v>
      </c>
      <c r="U320" s="343">
        <v>0</v>
      </c>
      <c r="V320" s="343">
        <v>0</v>
      </c>
      <c r="W320" s="343">
        <v>0</v>
      </c>
      <c r="X320" s="343">
        <v>0</v>
      </c>
      <c r="Y320" s="379">
        <v>0</v>
      </c>
      <c r="Z320" s="282">
        <f t="shared" si="115"/>
        <v>0</v>
      </c>
      <c r="AA320" s="284">
        <f t="shared" si="116"/>
        <v>0</v>
      </c>
      <c r="AB320" s="948">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49">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6">
        <f t="shared" si="123"/>
        <v>0</v>
      </c>
      <c r="AE320" s="1230">
        <f t="shared" si="120"/>
        <v>0</v>
      </c>
      <c r="AF320" s="1231">
        <f t="shared" si="121"/>
        <v>0</v>
      </c>
      <c r="AG320" s="1231">
        <f t="shared" si="122"/>
        <v>0</v>
      </c>
      <c r="AH320" s="1172">
        <f t="shared" si="118"/>
        <v>0</v>
      </c>
      <c r="AI320" s="1232">
        <f t="shared" si="119"/>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13"/>
        <v>0</v>
      </c>
      <c r="N321" s="298">
        <f t="shared" si="114"/>
        <v>0</v>
      </c>
      <c r="O321" s="344">
        <v>0</v>
      </c>
      <c r="P321" s="345">
        <v>0</v>
      </c>
      <c r="Q321" s="345">
        <v>0</v>
      </c>
      <c r="R321" s="345">
        <v>0</v>
      </c>
      <c r="S321" s="345">
        <v>0</v>
      </c>
      <c r="T321" s="345">
        <v>0</v>
      </c>
      <c r="U321" s="345">
        <v>0</v>
      </c>
      <c r="V321" s="345">
        <v>0</v>
      </c>
      <c r="W321" s="345">
        <v>0</v>
      </c>
      <c r="X321" s="345">
        <v>0</v>
      </c>
      <c r="Y321" s="380">
        <v>0</v>
      </c>
      <c r="Z321" s="296">
        <f t="shared" si="115"/>
        <v>0</v>
      </c>
      <c r="AA321" s="298">
        <f t="shared" si="116"/>
        <v>0</v>
      </c>
      <c r="AB321" s="948">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49">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6">
        <f t="shared" si="123"/>
        <v>0</v>
      </c>
      <c r="AE321" s="1230">
        <f t="shared" si="120"/>
        <v>0</v>
      </c>
      <c r="AF321" s="1231">
        <f t="shared" si="121"/>
        <v>0</v>
      </c>
      <c r="AG321" s="1231">
        <f t="shared" si="122"/>
        <v>0</v>
      </c>
      <c r="AH321" s="1172">
        <f t="shared" si="118"/>
        <v>0</v>
      </c>
      <c r="AI321" s="1232">
        <f t="shared" si="119"/>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13"/>
        <v>0</v>
      </c>
      <c r="N322" s="298">
        <f t="shared" si="114"/>
        <v>0</v>
      </c>
      <c r="O322" s="344">
        <v>0</v>
      </c>
      <c r="P322" s="345">
        <v>0</v>
      </c>
      <c r="Q322" s="345">
        <v>0</v>
      </c>
      <c r="R322" s="345">
        <v>0</v>
      </c>
      <c r="S322" s="345">
        <v>0</v>
      </c>
      <c r="T322" s="345">
        <v>0</v>
      </c>
      <c r="U322" s="345">
        <v>0</v>
      </c>
      <c r="V322" s="345">
        <v>0</v>
      </c>
      <c r="W322" s="345">
        <v>0</v>
      </c>
      <c r="X322" s="345">
        <v>0</v>
      </c>
      <c r="Y322" s="380">
        <v>0</v>
      </c>
      <c r="Z322" s="296">
        <f t="shared" si="115"/>
        <v>0</v>
      </c>
      <c r="AA322" s="298">
        <f t="shared" si="116"/>
        <v>0</v>
      </c>
      <c r="AB322" s="948">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49">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6">
        <f t="shared" si="123"/>
        <v>0</v>
      </c>
      <c r="AE322" s="1230">
        <f t="shared" si="120"/>
        <v>0</v>
      </c>
      <c r="AF322" s="1231">
        <f t="shared" si="121"/>
        <v>0</v>
      </c>
      <c r="AG322" s="1231">
        <f t="shared" si="122"/>
        <v>0</v>
      </c>
      <c r="AH322" s="1172">
        <f t="shared" si="118"/>
        <v>0</v>
      </c>
      <c r="AI322" s="1232">
        <f t="shared" si="119"/>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13"/>
        <v>0</v>
      </c>
      <c r="N323" s="298">
        <f t="shared" si="114"/>
        <v>0</v>
      </c>
      <c r="O323" s="344">
        <v>0</v>
      </c>
      <c r="P323" s="345">
        <v>0</v>
      </c>
      <c r="Q323" s="345">
        <v>0</v>
      </c>
      <c r="R323" s="345">
        <v>0</v>
      </c>
      <c r="S323" s="345">
        <v>0</v>
      </c>
      <c r="T323" s="345">
        <v>0</v>
      </c>
      <c r="U323" s="345">
        <v>0</v>
      </c>
      <c r="V323" s="345">
        <v>0</v>
      </c>
      <c r="W323" s="345">
        <v>0</v>
      </c>
      <c r="X323" s="345">
        <v>0</v>
      </c>
      <c r="Y323" s="380">
        <v>0</v>
      </c>
      <c r="Z323" s="296">
        <f t="shared" si="115"/>
        <v>0</v>
      </c>
      <c r="AA323" s="298">
        <f t="shared" si="116"/>
        <v>0</v>
      </c>
      <c r="AB323" s="948">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49">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6">
        <f t="shared" si="123"/>
        <v>0</v>
      </c>
      <c r="AE323" s="1230">
        <f t="shared" si="120"/>
        <v>0</v>
      </c>
      <c r="AF323" s="1231">
        <f t="shared" si="121"/>
        <v>0</v>
      </c>
      <c r="AG323" s="1231">
        <f t="shared" si="122"/>
        <v>0</v>
      </c>
      <c r="AH323" s="1172">
        <f t="shared" si="118"/>
        <v>0</v>
      </c>
      <c r="AI323" s="1232">
        <f t="shared" si="119"/>
        <v>0</v>
      </c>
    </row>
    <row r="324" spans="1:35" ht="13.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13"/>
        <v>0</v>
      </c>
      <c r="N324" s="312">
        <f t="shared" si="114"/>
        <v>0</v>
      </c>
      <c r="O324" s="346">
        <v>0</v>
      </c>
      <c r="P324" s="347">
        <v>0</v>
      </c>
      <c r="Q324" s="347">
        <v>0</v>
      </c>
      <c r="R324" s="347">
        <v>0</v>
      </c>
      <c r="S324" s="347">
        <v>0</v>
      </c>
      <c r="T324" s="347">
        <v>0</v>
      </c>
      <c r="U324" s="347">
        <v>0</v>
      </c>
      <c r="V324" s="347">
        <v>0</v>
      </c>
      <c r="W324" s="347">
        <v>0</v>
      </c>
      <c r="X324" s="347">
        <v>0</v>
      </c>
      <c r="Y324" s="381">
        <v>0</v>
      </c>
      <c r="Z324" s="310">
        <f t="shared" si="115"/>
        <v>0</v>
      </c>
      <c r="AA324" s="312">
        <f t="shared" si="116"/>
        <v>0</v>
      </c>
      <c r="AB324" s="948">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49">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6">
        <f t="shared" si="123"/>
        <v>0</v>
      </c>
      <c r="AE324" s="1230">
        <f t="shared" si="120"/>
        <v>0</v>
      </c>
      <c r="AF324" s="1231">
        <f t="shared" si="121"/>
        <v>0</v>
      </c>
      <c r="AG324" s="1231">
        <f t="shared" si="122"/>
        <v>0</v>
      </c>
      <c r="AH324" s="1172">
        <f t="shared" si="118"/>
        <v>0</v>
      </c>
      <c r="AI324" s="1232">
        <f t="shared" si="119"/>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13"/>
        <v>0</v>
      </c>
      <c r="N325" s="284">
        <f t="shared" si="114"/>
        <v>0</v>
      </c>
      <c r="O325" s="342">
        <v>0</v>
      </c>
      <c r="P325" s="343">
        <v>0</v>
      </c>
      <c r="Q325" s="343">
        <v>0</v>
      </c>
      <c r="R325" s="343">
        <v>0</v>
      </c>
      <c r="S325" s="343">
        <v>0</v>
      </c>
      <c r="T325" s="343">
        <v>0</v>
      </c>
      <c r="U325" s="343">
        <v>0</v>
      </c>
      <c r="V325" s="343">
        <v>0</v>
      </c>
      <c r="W325" s="343">
        <v>0</v>
      </c>
      <c r="X325" s="343">
        <v>0</v>
      </c>
      <c r="Y325" s="379">
        <v>0</v>
      </c>
      <c r="Z325" s="282">
        <f t="shared" si="115"/>
        <v>0</v>
      </c>
      <c r="AA325" s="284">
        <f t="shared" si="116"/>
        <v>0</v>
      </c>
      <c r="AB325" s="948">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49">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6">
        <f t="shared" si="123"/>
        <v>0</v>
      </c>
      <c r="AE325" s="1230">
        <f t="shared" si="120"/>
        <v>0</v>
      </c>
      <c r="AF325" s="1231">
        <f t="shared" si="121"/>
        <v>0</v>
      </c>
      <c r="AG325" s="1231">
        <f t="shared" si="122"/>
        <v>0</v>
      </c>
      <c r="AH325" s="1172">
        <f t="shared" si="118"/>
        <v>0</v>
      </c>
      <c r="AI325" s="1232">
        <f t="shared" si="119"/>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13"/>
        <v>0</v>
      </c>
      <c r="N326" s="298">
        <f t="shared" si="114"/>
        <v>0</v>
      </c>
      <c r="O326" s="344">
        <v>0</v>
      </c>
      <c r="P326" s="345">
        <v>0</v>
      </c>
      <c r="Q326" s="345">
        <v>0</v>
      </c>
      <c r="R326" s="345">
        <v>0</v>
      </c>
      <c r="S326" s="345">
        <v>0</v>
      </c>
      <c r="T326" s="345">
        <v>0</v>
      </c>
      <c r="U326" s="345">
        <v>0</v>
      </c>
      <c r="V326" s="345">
        <v>0</v>
      </c>
      <c r="W326" s="345">
        <v>0</v>
      </c>
      <c r="X326" s="345">
        <v>0</v>
      </c>
      <c r="Y326" s="380">
        <v>0</v>
      </c>
      <c r="Z326" s="296">
        <f t="shared" si="115"/>
        <v>0</v>
      </c>
      <c r="AA326" s="298">
        <f t="shared" si="116"/>
        <v>0</v>
      </c>
      <c r="AB326" s="948">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49">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6">
        <f t="shared" si="123"/>
        <v>0</v>
      </c>
      <c r="AE326" s="1230">
        <f t="shared" si="120"/>
        <v>0</v>
      </c>
      <c r="AF326" s="1231">
        <f t="shared" si="121"/>
        <v>0</v>
      </c>
      <c r="AG326" s="1231">
        <f t="shared" si="122"/>
        <v>0</v>
      </c>
      <c r="AH326" s="1172">
        <f t="shared" si="118"/>
        <v>0</v>
      </c>
      <c r="AI326" s="1232">
        <f t="shared" si="119"/>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13"/>
        <v>0</v>
      </c>
      <c r="N327" s="298">
        <f t="shared" si="114"/>
        <v>0</v>
      </c>
      <c r="O327" s="344">
        <v>0</v>
      </c>
      <c r="P327" s="345">
        <v>0</v>
      </c>
      <c r="Q327" s="345">
        <v>0</v>
      </c>
      <c r="R327" s="345">
        <v>0</v>
      </c>
      <c r="S327" s="345">
        <v>0</v>
      </c>
      <c r="T327" s="345">
        <v>0</v>
      </c>
      <c r="U327" s="345">
        <v>0</v>
      </c>
      <c r="V327" s="345">
        <v>0</v>
      </c>
      <c r="W327" s="345">
        <v>0</v>
      </c>
      <c r="X327" s="345">
        <v>0</v>
      </c>
      <c r="Y327" s="380">
        <v>0</v>
      </c>
      <c r="Z327" s="296">
        <f t="shared" si="115"/>
        <v>0</v>
      </c>
      <c r="AA327" s="298">
        <f t="shared" si="116"/>
        <v>0</v>
      </c>
      <c r="AB327" s="948">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49">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6">
        <f t="shared" si="123"/>
        <v>0</v>
      </c>
      <c r="AE327" s="1230">
        <f t="shared" si="120"/>
        <v>0</v>
      </c>
      <c r="AF327" s="1231">
        <f t="shared" si="121"/>
        <v>0</v>
      </c>
      <c r="AG327" s="1231">
        <f t="shared" si="122"/>
        <v>0</v>
      </c>
      <c r="AH327" s="1172">
        <f t="shared" si="118"/>
        <v>0</v>
      </c>
      <c r="AI327" s="1232">
        <f t="shared" si="119"/>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13"/>
        <v>0</v>
      </c>
      <c r="N328" s="298">
        <f t="shared" si="114"/>
        <v>0</v>
      </c>
      <c r="O328" s="344">
        <v>0</v>
      </c>
      <c r="P328" s="345">
        <v>0</v>
      </c>
      <c r="Q328" s="345">
        <v>0</v>
      </c>
      <c r="R328" s="345">
        <v>0</v>
      </c>
      <c r="S328" s="345">
        <v>0</v>
      </c>
      <c r="T328" s="345">
        <v>0</v>
      </c>
      <c r="U328" s="345">
        <v>0</v>
      </c>
      <c r="V328" s="345">
        <v>0</v>
      </c>
      <c r="W328" s="345">
        <v>0</v>
      </c>
      <c r="X328" s="345">
        <v>0</v>
      </c>
      <c r="Y328" s="380">
        <v>0</v>
      </c>
      <c r="Z328" s="296">
        <f t="shared" si="115"/>
        <v>0</v>
      </c>
      <c r="AA328" s="298">
        <f t="shared" si="116"/>
        <v>0</v>
      </c>
      <c r="AB328" s="948">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49">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6">
        <f t="shared" si="123"/>
        <v>0</v>
      </c>
      <c r="AE328" s="1230">
        <f t="shared" si="120"/>
        <v>0</v>
      </c>
      <c r="AF328" s="1231">
        <f t="shared" si="121"/>
        <v>0</v>
      </c>
      <c r="AG328" s="1231">
        <f t="shared" si="122"/>
        <v>0</v>
      </c>
      <c r="AH328" s="1172">
        <f t="shared" si="118"/>
        <v>0</v>
      </c>
      <c r="AI328" s="1232">
        <f t="shared" si="119"/>
        <v>0</v>
      </c>
    </row>
    <row r="329" spans="1:35" ht="13.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13"/>
        <v>0</v>
      </c>
      <c r="N329" s="312">
        <f t="shared" si="114"/>
        <v>0</v>
      </c>
      <c r="O329" s="346">
        <v>0</v>
      </c>
      <c r="P329" s="347">
        <v>0</v>
      </c>
      <c r="Q329" s="347">
        <v>0</v>
      </c>
      <c r="R329" s="347">
        <v>0</v>
      </c>
      <c r="S329" s="347">
        <v>0</v>
      </c>
      <c r="T329" s="347">
        <v>0</v>
      </c>
      <c r="U329" s="347">
        <v>0</v>
      </c>
      <c r="V329" s="347">
        <v>0</v>
      </c>
      <c r="W329" s="347">
        <v>0</v>
      </c>
      <c r="X329" s="347">
        <v>0</v>
      </c>
      <c r="Y329" s="381">
        <v>0</v>
      </c>
      <c r="Z329" s="310">
        <f t="shared" si="115"/>
        <v>0</v>
      </c>
      <c r="AA329" s="312">
        <f t="shared" si="116"/>
        <v>0</v>
      </c>
      <c r="AB329" s="950">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1">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7">
        <f t="shared" si="123"/>
        <v>0</v>
      </c>
      <c r="AE329" s="1233">
        <f t="shared" si="120"/>
        <v>0</v>
      </c>
      <c r="AF329" s="1234">
        <f t="shared" si="121"/>
        <v>0</v>
      </c>
      <c r="AG329" s="1234">
        <f t="shared" si="122"/>
        <v>0</v>
      </c>
      <c r="AH329" s="1235">
        <f t="shared" si="118"/>
        <v>0</v>
      </c>
      <c r="AI329" s="1236">
        <f t="shared" si="119"/>
        <v>0</v>
      </c>
    </row>
    <row r="330" spans="1:35" x14ac:dyDescent="0.2">
      <c r="B330" s="227" t="s">
        <v>240</v>
      </c>
      <c r="U330" s="227" t="s">
        <v>240</v>
      </c>
    </row>
  </sheetData>
  <mergeCells count="37">
    <mergeCell ref="B280:N280"/>
    <mergeCell ref="O280:AA280"/>
    <mergeCell ref="B71:L71"/>
    <mergeCell ref="O71:Y71"/>
    <mergeCell ref="B122:N122"/>
    <mergeCell ref="O122:AA122"/>
    <mergeCell ref="B123:L123"/>
    <mergeCell ref="O123:Y123"/>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6:C6"/>
    <mergeCell ref="J9:K9"/>
    <mergeCell ref="L9:M9"/>
    <mergeCell ref="N9:Q9"/>
    <mergeCell ref="B3:C3"/>
    <mergeCell ref="P3:U3"/>
    <mergeCell ref="B4:C4"/>
    <mergeCell ref="P4:U4"/>
    <mergeCell ref="B5:C5"/>
    <mergeCell ref="P5:U5"/>
    <mergeCell ref="AB74:AD74"/>
    <mergeCell ref="AB126:AD126"/>
    <mergeCell ref="AB178:AD178"/>
    <mergeCell ref="AB231:AD231"/>
    <mergeCell ref="AB284:AD284"/>
  </mergeCells>
  <conditionalFormatting sqref="AL20 AV20:AV67 W20 AG20:AG67 AQ22:AQ23 BA22:BA67 BG22:BG67 R20:R67 AB20:AB67 AL23:AL67 W22:W67 L20:L67">
    <cfRule type="expression" dxfId="20" priority="37">
      <formula>$C$15="not used"</formula>
    </cfRule>
  </conditionalFormatting>
  <conditionalFormatting sqref="G20:G67 BH20:BH67 BB20:BB67 AW20:AW67 AR20:AR23 AM20 AH20:AH67 X20 S20:S67 AC20:AC67 AM23:AM67 X22:X67 M20:M67">
    <cfRule type="expression" dxfId="19" priority="36">
      <formula>$C$16="not used"</formula>
    </cfRule>
  </conditionalFormatting>
  <conditionalFormatting sqref="V20 AF20:AF67 AK20 AP20:AP23 AU20:AU67 AZ20:AZ67 BF20:BF67 Q20:Q67 AA20:AA67 AK23:AK67 V22:V67 K20:K67">
    <cfRule type="expression" dxfId="18" priority="35">
      <formula>$C$14="not used"</formula>
    </cfRule>
  </conditionalFormatting>
  <conditionalFormatting sqref="AM21:AM22">
    <cfRule type="expression" dxfId="17" priority="6">
      <formula>$C$16="not used"</formula>
    </cfRule>
  </conditionalFormatting>
  <conditionalFormatting sqref="AL21:AL22">
    <cfRule type="expression" dxfId="16" priority="5">
      <formula>$C$15="not used"</formula>
    </cfRule>
  </conditionalFormatting>
  <conditionalFormatting sqref="AK21:AK22">
    <cfRule type="expression" dxfId="15" priority="4">
      <formula>$C$14 = "not used"</formula>
    </cfRule>
  </conditionalFormatting>
  <conditionalFormatting sqref="AQ24:AQ67">
    <cfRule type="expression" dxfId="14" priority="3">
      <formula>$C$15="not used"</formula>
    </cfRule>
  </conditionalFormatting>
  <conditionalFormatting sqref="AR24:AR67">
    <cfRule type="expression" dxfId="13" priority="2">
      <formula>$C$16="not used"</formula>
    </cfRule>
  </conditionalFormatting>
  <conditionalFormatting sqref="AP24:AP67">
    <cfRule type="expression" dxfId="12"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J30" sqref="J30"/>
    </sheetView>
  </sheetViews>
  <sheetFormatPr defaultColWidth="9.140625" defaultRowHeight="12.75" x14ac:dyDescent="0.2"/>
  <cols>
    <col min="1" max="1" width="9.140625" style="397"/>
    <col min="2" max="2" width="14" style="397" customWidth="1"/>
    <col min="3" max="7" width="10.42578125" style="397" customWidth="1"/>
    <col min="8" max="8" width="13.5703125" style="397" customWidth="1"/>
    <col min="9" max="13" width="10.42578125" style="397" customWidth="1"/>
    <col min="14" max="14" width="13.140625" style="397" customWidth="1"/>
    <col min="15" max="15" width="11.28515625" style="397" bestFit="1" customWidth="1"/>
    <col min="16" max="16" width="11.5703125" style="397" customWidth="1"/>
    <col min="17" max="17" width="9.140625" style="397"/>
    <col min="18" max="18" width="13.28515625" style="397" customWidth="1"/>
    <col min="19" max="20" width="9.140625" style="397"/>
    <col min="21" max="21" width="11.42578125" style="397" customWidth="1"/>
    <col min="22" max="22" width="11.140625" style="397" customWidth="1"/>
    <col min="23" max="23" width="10.28515625" style="397" customWidth="1"/>
    <col min="24" max="24" width="13" style="397" customWidth="1"/>
    <col min="25" max="27" width="9.140625" style="397"/>
    <col min="28" max="28" width="10.42578125" style="397" customWidth="1"/>
    <col min="29" max="29" width="10.7109375" style="397" customWidth="1"/>
    <col min="30" max="30" width="13.28515625" style="397" customWidth="1"/>
    <col min="31" max="31" width="11.28515625" style="397" bestFit="1" customWidth="1"/>
    <col min="32" max="34" width="9.140625" style="397"/>
    <col min="35" max="35" width="10.140625" style="397" customWidth="1"/>
    <col min="36" max="36" width="14" style="397" customWidth="1"/>
    <col min="37" max="39" width="9.140625" style="397"/>
    <col min="40" max="40" width="10.140625" style="397" customWidth="1"/>
    <col min="41" max="41" width="10.42578125" style="397" customWidth="1"/>
    <col min="42" max="42" width="9.140625" style="397"/>
    <col min="43" max="43" width="12.140625" style="397" customWidth="1"/>
    <col min="44" max="16384" width="9.140625" style="397"/>
  </cols>
  <sheetData>
    <row r="1" spans="1:43" x14ac:dyDescent="0.2">
      <c r="A1" s="861" t="s">
        <v>261</v>
      </c>
    </row>
    <row r="2" spans="1:43" ht="13.5" thickBot="1" x14ac:dyDescent="0.25"/>
    <row r="3" spans="1:43" ht="19.5" customHeight="1" thickBot="1" x14ac:dyDescent="0.35">
      <c r="A3" s="1573" t="s">
        <v>150</v>
      </c>
      <c r="B3" s="1574"/>
      <c r="C3" s="1574"/>
      <c r="D3" s="1574"/>
      <c r="E3" s="1574"/>
      <c r="F3" s="1574"/>
      <c r="G3" s="1574"/>
      <c r="H3" s="1574"/>
      <c r="I3" s="1574"/>
      <c r="J3" s="1574"/>
      <c r="K3" s="1574"/>
      <c r="L3" s="1574"/>
      <c r="M3" s="1574"/>
      <c r="N3" s="1574"/>
      <c r="O3" s="1574"/>
      <c r="P3" s="1574"/>
      <c r="Q3" s="1574"/>
      <c r="R3" s="1574"/>
      <c r="S3" s="1574"/>
      <c r="T3" s="1574"/>
      <c r="U3" s="1575"/>
      <c r="V3" s="849"/>
      <c r="W3" s="1576" t="s">
        <v>185</v>
      </c>
      <c r="X3" s="1577"/>
      <c r="Y3" s="1577"/>
      <c r="Z3" s="1577"/>
      <c r="AA3" s="1577"/>
      <c r="AB3" s="1577"/>
      <c r="AC3" s="1577"/>
      <c r="AD3" s="1577"/>
      <c r="AE3" s="1577"/>
      <c r="AF3" s="1577"/>
      <c r="AG3" s="1577"/>
      <c r="AH3" s="1577"/>
      <c r="AI3" s="1577"/>
      <c r="AJ3" s="1577"/>
      <c r="AK3" s="1577"/>
      <c r="AL3" s="1577"/>
      <c r="AM3" s="1577"/>
      <c r="AN3" s="1577"/>
      <c r="AO3" s="1577"/>
      <c r="AP3" s="1577"/>
      <c r="AQ3" s="1578"/>
    </row>
    <row r="4" spans="1:43" ht="15" x14ac:dyDescent="0.25">
      <c r="A4" s="400"/>
      <c r="B4" s="1571" t="s">
        <v>249</v>
      </c>
      <c r="C4" s="1582"/>
      <c r="D4" s="1582"/>
      <c r="E4" s="1582"/>
      <c r="F4" s="1582"/>
      <c r="G4" s="1572"/>
      <c r="H4" s="1571" t="s">
        <v>250</v>
      </c>
      <c r="I4" s="1582"/>
      <c r="J4" s="1582"/>
      <c r="K4" s="1582"/>
      <c r="L4" s="1582"/>
      <c r="M4" s="1572"/>
      <c r="N4" s="1571" t="s">
        <v>154</v>
      </c>
      <c r="O4" s="1582"/>
      <c r="P4" s="1582"/>
      <c r="Q4" s="1582"/>
      <c r="R4" s="1582"/>
      <c r="S4" s="1572"/>
      <c r="T4" s="1571" t="s">
        <v>153</v>
      </c>
      <c r="U4" s="1572"/>
      <c r="W4" s="400"/>
      <c r="X4" s="1571" t="s">
        <v>249</v>
      </c>
      <c r="Y4" s="1582"/>
      <c r="Z4" s="1582"/>
      <c r="AA4" s="1582"/>
      <c r="AB4" s="1582"/>
      <c r="AC4" s="1572"/>
      <c r="AD4" s="1571" t="s">
        <v>250</v>
      </c>
      <c r="AE4" s="1582"/>
      <c r="AF4" s="1582"/>
      <c r="AG4" s="1582"/>
      <c r="AH4" s="1582"/>
      <c r="AI4" s="1572"/>
      <c r="AJ4" s="1571" t="s">
        <v>154</v>
      </c>
      <c r="AK4" s="1582"/>
      <c r="AL4" s="1582"/>
      <c r="AM4" s="1582"/>
      <c r="AN4" s="1582"/>
      <c r="AO4" s="1572"/>
      <c r="AP4" s="1571" t="s">
        <v>153</v>
      </c>
      <c r="AQ4" s="1572"/>
    </row>
    <row r="5" spans="1:43" ht="15" x14ac:dyDescent="0.25">
      <c r="A5" s="401"/>
      <c r="B5" s="1579" t="s">
        <v>129</v>
      </c>
      <c r="C5" s="1580"/>
      <c r="D5" s="1580"/>
      <c r="E5" s="1580"/>
      <c r="F5" s="1580"/>
      <c r="G5" s="1581"/>
      <c r="H5" s="1579" t="s">
        <v>129</v>
      </c>
      <c r="I5" s="1580"/>
      <c r="J5" s="1580"/>
      <c r="K5" s="1580"/>
      <c r="L5" s="1580"/>
      <c r="M5" s="1581"/>
      <c r="N5" s="1579" t="s">
        <v>129</v>
      </c>
      <c r="O5" s="1580"/>
      <c r="P5" s="1580"/>
      <c r="Q5" s="1580"/>
      <c r="R5" s="1580"/>
      <c r="S5" s="1581"/>
      <c r="T5" s="1569" t="s">
        <v>129</v>
      </c>
      <c r="U5" s="1570"/>
      <c r="W5" s="401"/>
      <c r="X5" s="1579" t="s">
        <v>129</v>
      </c>
      <c r="Y5" s="1580"/>
      <c r="Z5" s="1580"/>
      <c r="AA5" s="1580"/>
      <c r="AB5" s="1580"/>
      <c r="AC5" s="1581"/>
      <c r="AD5" s="1579" t="s">
        <v>129</v>
      </c>
      <c r="AE5" s="1580"/>
      <c r="AF5" s="1580"/>
      <c r="AG5" s="1580"/>
      <c r="AH5" s="1580"/>
      <c r="AI5" s="1581"/>
      <c r="AJ5" s="1579" t="s">
        <v>129</v>
      </c>
      <c r="AK5" s="1580"/>
      <c r="AL5" s="1580"/>
      <c r="AM5" s="1580"/>
      <c r="AN5" s="1580"/>
      <c r="AO5" s="1581"/>
      <c r="AP5" s="1569" t="s">
        <v>129</v>
      </c>
      <c r="AQ5" s="1570"/>
    </row>
    <row r="6" spans="1:43" ht="15" x14ac:dyDescent="0.25">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c r="W6" s="401"/>
      <c r="X6" s="671" t="s">
        <v>69</v>
      </c>
      <c r="Y6" s="668" t="s">
        <v>65</v>
      </c>
      <c r="Z6" s="668" t="s">
        <v>66</v>
      </c>
      <c r="AA6" s="668" t="s">
        <v>67</v>
      </c>
      <c r="AB6" s="668" t="s">
        <v>205</v>
      </c>
      <c r="AC6" s="850" t="s">
        <v>206</v>
      </c>
      <c r="AD6" s="671" t="s">
        <v>69</v>
      </c>
      <c r="AE6" s="668" t="s">
        <v>65</v>
      </c>
      <c r="AF6" s="668" t="s">
        <v>66</v>
      </c>
      <c r="AG6" s="668" t="s">
        <v>67</v>
      </c>
      <c r="AH6" s="668" t="s">
        <v>205</v>
      </c>
      <c r="AI6" s="850" t="s">
        <v>206</v>
      </c>
      <c r="AJ6" s="671" t="s">
        <v>69</v>
      </c>
      <c r="AK6" s="668" t="s">
        <v>65</v>
      </c>
      <c r="AL6" s="668" t="s">
        <v>66</v>
      </c>
      <c r="AM6" s="668" t="s">
        <v>67</v>
      </c>
      <c r="AN6" s="668" t="s">
        <v>205</v>
      </c>
      <c r="AO6" s="670" t="s">
        <v>206</v>
      </c>
      <c r="AP6" s="648"/>
      <c r="AQ6" s="650"/>
    </row>
    <row r="7" spans="1:43" s="848" customFormat="1" ht="30" x14ac:dyDescent="0.2">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59" t="s">
        <v>70</v>
      </c>
      <c r="U7" s="847" t="s">
        <v>138</v>
      </c>
      <c r="W7" s="842"/>
      <c r="X7" s="843" t="str">
        <f t="shared" ref="X7:AC7" si="3">INDEX(TECH_OPT_DESC_Cls1,MATCH(X6,TECH_OPT_ROWS_Cls1,0))</f>
        <v>Conventional Diesel ICE</v>
      </c>
      <c r="Y7" s="844" t="str">
        <f t="shared" si="3"/>
        <v>Adv Conv</v>
      </c>
      <c r="Z7" s="844" t="str">
        <f t="shared" si="3"/>
        <v>HEV</v>
      </c>
      <c r="AA7" s="857" t="str">
        <f t="shared" si="3"/>
        <v>BEV</v>
      </c>
      <c r="AB7" s="844" t="str">
        <f t="shared" si="3"/>
        <v>FCEV</v>
      </c>
      <c r="AC7" s="845">
        <f t="shared" si="3"/>
        <v>0</v>
      </c>
      <c r="AD7" s="843" t="str">
        <f t="shared" ref="AD7:AI7" si="4">INDEX(TECH_OPT_DESC_Cls2,MATCH(AD6,TECH_OPT_ROWS_Cls2,0))</f>
        <v>Conventional Diesel ICE</v>
      </c>
      <c r="AE7" s="844" t="str">
        <f t="shared" si="4"/>
        <v>Adv Conv</v>
      </c>
      <c r="AF7" s="844" t="str">
        <f t="shared" si="4"/>
        <v>HEV</v>
      </c>
      <c r="AG7" s="857" t="str">
        <f t="shared" si="4"/>
        <v>BEV</v>
      </c>
      <c r="AH7" s="844" t="str">
        <f t="shared" si="4"/>
        <v>FCEV</v>
      </c>
      <c r="AI7" s="845">
        <f t="shared" si="4"/>
        <v>0</v>
      </c>
      <c r="AJ7" s="843" t="str">
        <f t="shared" ref="AJ7:AO7" si="5">INDEX(TECH_OPT_DESC_Cls3,MATCH(AJ6,TECH_OPT_ROWS_Cls3,0))</f>
        <v>Conventional Diesel ICE</v>
      </c>
      <c r="AK7" s="844" t="str">
        <f t="shared" si="5"/>
        <v>Adv Conv</v>
      </c>
      <c r="AL7" s="844" t="str">
        <f t="shared" si="5"/>
        <v>HEV</v>
      </c>
      <c r="AM7" s="857" t="str">
        <f t="shared" si="5"/>
        <v>BEV</v>
      </c>
      <c r="AN7" s="844" t="str">
        <f t="shared" si="5"/>
        <v>FCEV</v>
      </c>
      <c r="AO7" s="858">
        <f t="shared" si="5"/>
        <v>0</v>
      </c>
      <c r="AP7" s="859"/>
      <c r="AQ7" s="847"/>
    </row>
    <row r="8" spans="1:43" ht="30.75" thickBot="1" x14ac:dyDescent="0.3">
      <c r="A8" s="405" t="s">
        <v>3</v>
      </c>
      <c r="B8" s="1106" t="str">
        <f t="shared" ref="B8:G8" si="6">INDEX(TECH_OPT_FUEL1_Cls1,MATCH(B6,TECH_OPT_ROWS_Cls1,0))</f>
        <v>Diesel</v>
      </c>
      <c r="C8" s="1107" t="str">
        <f t="shared" si="6"/>
        <v>Diesel</v>
      </c>
      <c r="D8" s="1107" t="str">
        <f t="shared" si="6"/>
        <v>Diesel</v>
      </c>
      <c r="E8" s="1107" t="str">
        <f t="shared" si="6"/>
        <v>Electricity</v>
      </c>
      <c r="F8" s="1107" t="str">
        <f t="shared" si="6"/>
        <v>Hydrogen</v>
      </c>
      <c r="G8" s="1108" t="str">
        <f t="shared" si="6"/>
        <v>Diesel</v>
      </c>
      <c r="H8" s="1106" t="str">
        <f t="shared" ref="H8:M8" si="7">INDEX(TECH_OPT_FUEL1_Cls2,MATCH(H6,TECH_OPT_ROWS_Cls2,0))</f>
        <v>Diesel</v>
      </c>
      <c r="I8" s="1107" t="str">
        <f t="shared" si="7"/>
        <v>Diesel</v>
      </c>
      <c r="J8" s="1107" t="str">
        <f t="shared" si="7"/>
        <v>Diesel</v>
      </c>
      <c r="K8" s="1107" t="str">
        <f t="shared" si="7"/>
        <v>Electricity</v>
      </c>
      <c r="L8" s="1107" t="str">
        <f t="shared" si="7"/>
        <v>Hydrogen</v>
      </c>
      <c r="M8" s="1108" t="str">
        <f t="shared" si="7"/>
        <v>Diesel</v>
      </c>
      <c r="N8" s="1106" t="str">
        <f t="shared" ref="N8:S8" si="8">INDEX(TECH_OPT_FUEL1_Cls3,MATCH(N6,TECH_OPT_ROWS_Cls3,0))</f>
        <v>Diesel</v>
      </c>
      <c r="O8" s="1107" t="str">
        <f t="shared" si="8"/>
        <v>Diesel</v>
      </c>
      <c r="P8" s="1107" t="str">
        <f t="shared" si="8"/>
        <v>Diesel</v>
      </c>
      <c r="Q8" s="1107" t="str">
        <f t="shared" si="8"/>
        <v>Electricity</v>
      </c>
      <c r="R8" s="1107" t="str">
        <f t="shared" si="8"/>
        <v>Hydrogen</v>
      </c>
      <c r="S8" s="1108" t="str">
        <f t="shared" si="8"/>
        <v>Diesel</v>
      </c>
      <c r="T8" s="419"/>
      <c r="U8" s="418"/>
      <c r="W8" s="405" t="s">
        <v>3</v>
      </c>
      <c r="X8" s="681" t="str">
        <f t="shared" ref="X8:AC8" si="9">INDEX(TECH_OPT_FUEL1_Cls1,MATCH(X6,TECH_OPT_ROWS_Cls1,0))</f>
        <v>Diesel</v>
      </c>
      <c r="Y8" s="669" t="str">
        <f t="shared" si="9"/>
        <v>Diesel</v>
      </c>
      <c r="Z8" s="669" t="str">
        <f t="shared" si="9"/>
        <v>Diesel</v>
      </c>
      <c r="AA8" s="669" t="str">
        <f t="shared" si="9"/>
        <v>Electricity</v>
      </c>
      <c r="AB8" s="669" t="str">
        <f t="shared" si="9"/>
        <v>Hydrogen</v>
      </c>
      <c r="AC8" s="851" t="str">
        <f t="shared" si="9"/>
        <v>Diesel</v>
      </c>
      <c r="AD8" s="681" t="str">
        <f t="shared" ref="AD8:AI8" si="10">INDEX(TECH_OPT_FUEL1_Cls2,MATCH(AD6,TECH_OPT_ROWS_Cls2,0))</f>
        <v>Diesel</v>
      </c>
      <c r="AE8" s="669" t="str">
        <f t="shared" si="10"/>
        <v>Diesel</v>
      </c>
      <c r="AF8" s="669" t="str">
        <f t="shared" si="10"/>
        <v>Diesel</v>
      </c>
      <c r="AG8" s="669" t="str">
        <f t="shared" si="10"/>
        <v>Electricity</v>
      </c>
      <c r="AH8" s="669" t="str">
        <f t="shared" si="10"/>
        <v>Hydrogen</v>
      </c>
      <c r="AI8" s="851" t="str">
        <f t="shared" si="10"/>
        <v>Diesel</v>
      </c>
      <c r="AJ8" s="681" t="str">
        <f t="shared" ref="AJ8:AO8" si="11">INDEX(TECH_OPT_FUEL1_Cls3,MATCH(AJ6,TECH_OPT_ROWS_Cls3,0))</f>
        <v>Diesel</v>
      </c>
      <c r="AK8" s="669" t="str">
        <f t="shared" si="11"/>
        <v>Diesel</v>
      </c>
      <c r="AL8" s="669" t="str">
        <f t="shared" si="11"/>
        <v>Diesel</v>
      </c>
      <c r="AM8" s="669" t="str">
        <f t="shared" si="11"/>
        <v>Electricity</v>
      </c>
      <c r="AN8" s="669" t="str">
        <f t="shared" si="11"/>
        <v>Hydrogen</v>
      </c>
      <c r="AO8" s="682" t="str">
        <f t="shared" si="11"/>
        <v>Diesel</v>
      </c>
      <c r="AP8" s="419" t="s">
        <v>70</v>
      </c>
      <c r="AQ8" s="418" t="s">
        <v>138</v>
      </c>
    </row>
    <row r="9" spans="1:43" ht="15.75" thickTop="1" x14ac:dyDescent="0.25">
      <c r="A9" s="403">
        <v>2007</v>
      </c>
      <c r="B9" s="420">
        <f>1-SUM(C9:G9)</f>
        <v>1</v>
      </c>
      <c r="C9" s="421">
        <f>'7&amp;8 Sleep'!$M76+'7&amp;8 Sleep'!$Z76</f>
        <v>0</v>
      </c>
      <c r="D9" s="421">
        <f>'7&amp;8 Sleep'!$M128+'7&amp;8 Sleep'!$Z128</f>
        <v>0</v>
      </c>
      <c r="E9" s="699">
        <f>'7&amp;8 Sleep'!$M180+'7&amp;8 Sleep'!$Z180</f>
        <v>0</v>
      </c>
      <c r="F9" s="421">
        <f>'7&amp;8 Sleep'!$M233+'7&amp;8 Sleep'!$Z233</f>
        <v>0</v>
      </c>
      <c r="G9" s="657">
        <f>'7&amp;8 Sleep'!$M286+'7&amp;8 Sleep'!$Z286</f>
        <v>0</v>
      </c>
      <c r="H9" s="852">
        <f>1-SUM(I9:M9)</f>
        <v>1</v>
      </c>
      <c r="I9" s="657">
        <f>'7&amp;8 Day'!$M76+'7&amp;8 Day'!$Z76</f>
        <v>0</v>
      </c>
      <c r="J9" s="657">
        <f>'7&amp;8 Day'!$M128+'7&amp;8 Day'!$Z128</f>
        <v>0</v>
      </c>
      <c r="K9" s="657">
        <f>'7&amp;8 Day'!$M180+'7&amp;8 Day'!$Z180</f>
        <v>0</v>
      </c>
      <c r="L9" s="657">
        <f>'7&amp;8 Day'!$M233+'7&amp;8 Day'!$Z233</f>
        <v>0</v>
      </c>
      <c r="M9" s="704">
        <f>'7&amp;8 Day'!$M286+'7&amp;8 Day'!$Z286</f>
        <v>0</v>
      </c>
      <c r="N9" s="420">
        <f>1-SUM(O9:S9)</f>
        <v>1</v>
      </c>
      <c r="O9" s="421">
        <f>'7&amp;8 SU'!$M76+'7&amp;8 SU'!$Z76</f>
        <v>0</v>
      </c>
      <c r="P9" s="421">
        <f>'7&amp;8 SU'!$M128+'7&amp;8 SU'!$Z128</f>
        <v>0</v>
      </c>
      <c r="Q9" s="699">
        <f>'7&amp;8 SU'!$M180+'7&amp;8 SU'!$Z180</f>
        <v>0</v>
      </c>
      <c r="R9" s="421">
        <f>'7&amp;8 SU'!$M233+'7&amp;8 SU'!$Z233</f>
        <v>0</v>
      </c>
      <c r="S9" s="657">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4">
        <f>IF('Market Penetration'!E9=0,0,1000*E9*'Market Data'!$E$51/('Market Penetration'!E9*'Market Data'!$C$51))</f>
        <v>0</v>
      </c>
      <c r="AB9" s="458">
        <f>IF('Market Penetration'!F9=0,0,1000*F9*'Market Data'!$E$51/('Market Penetration'!F9*'Market Data'!$C$51))</f>
        <v>0</v>
      </c>
      <c r="AC9" s="689">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4">
        <f>IF('Market Penetration'!Q9=0,0,1000*Q9*'Market Data'!$Y$51/('Market Penetration'!Q9*'Market Data'!$W$51))</f>
        <v>0</v>
      </c>
      <c r="AN9" s="458">
        <f>IF('Market Penetration'!R9=0,0,1000*R9*'Market Data'!$Y$51/('Market Penetration'!R9*'Market Data'!$W$51))</f>
        <v>0</v>
      </c>
      <c r="AO9" s="689">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5">
      <c r="A10" s="403">
        <v>2008</v>
      </c>
      <c r="B10" s="423">
        <f t="shared" ref="B10:B52" si="12">1-SUM(C10:G10)</f>
        <v>1</v>
      </c>
      <c r="C10" s="424">
        <f>'7&amp;8 Sleep'!$M77+'7&amp;8 Sleep'!$Z77</f>
        <v>0</v>
      </c>
      <c r="D10" s="424">
        <f>'7&amp;8 Sleep'!$M129+'7&amp;8 Sleep'!$Z129</f>
        <v>0</v>
      </c>
      <c r="E10" s="700">
        <f>'7&amp;8 Sleep'!$M181+'7&amp;8 Sleep'!$Z181</f>
        <v>0</v>
      </c>
      <c r="F10" s="424">
        <f>'7&amp;8 Sleep'!$M234+'7&amp;8 Sleep'!$Z234</f>
        <v>0</v>
      </c>
      <c r="G10" s="658">
        <f>'7&amp;8 Sleep'!$M287+'7&amp;8 Sleep'!$Z287</f>
        <v>0</v>
      </c>
      <c r="H10" s="853">
        <f t="shared" ref="H10:H52" si="13">1-SUM(I10:M10)</f>
        <v>1</v>
      </c>
      <c r="I10" s="658">
        <f>'7&amp;8 Day'!$M77+'7&amp;8 Day'!$Z77</f>
        <v>0</v>
      </c>
      <c r="J10" s="658">
        <f>'7&amp;8 Day'!$M129+'7&amp;8 Day'!$Z129</f>
        <v>0</v>
      </c>
      <c r="K10" s="658">
        <f>'7&amp;8 Day'!$M181+'7&amp;8 Day'!$Z181</f>
        <v>0</v>
      </c>
      <c r="L10" s="658">
        <f>'7&amp;8 Day'!$M234+'7&amp;8 Day'!$Z234</f>
        <v>0</v>
      </c>
      <c r="M10" s="705">
        <f>'7&amp;8 Day'!$M287+'7&amp;8 Day'!$Z287</f>
        <v>0</v>
      </c>
      <c r="N10" s="423">
        <f t="shared" ref="N10:N52" si="14">1-SUM(O10:S10)</f>
        <v>1</v>
      </c>
      <c r="O10" s="424">
        <f>'7&amp;8 SU'!$M77+'7&amp;8 SU'!$Z77</f>
        <v>0</v>
      </c>
      <c r="P10" s="424">
        <f>'7&amp;8 SU'!$M129+'7&amp;8 SU'!$Z129</f>
        <v>0</v>
      </c>
      <c r="Q10" s="700">
        <f>'7&amp;8 SU'!$M181+'7&amp;8 SU'!$Z181</f>
        <v>0</v>
      </c>
      <c r="R10" s="424">
        <f>'7&amp;8 SU'!$M234+'7&amp;8 SU'!$Z234</f>
        <v>0</v>
      </c>
      <c r="S10" s="658">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5">
        <f>IF('Market Penetration'!E10=0,0,1000*E10*'Market Data'!$E$51/('Market Penetration'!E10*'Market Data'!$C$51))</f>
        <v>0</v>
      </c>
      <c r="AB10" s="461">
        <f>IF('Market Penetration'!F10=0,0,1000*F10*'Market Data'!$E$51/('Market Penetration'!F10*'Market Data'!$C$51))</f>
        <v>0</v>
      </c>
      <c r="AC10" s="690">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5">
        <f>IF('Market Penetration'!Q10=0,0,1000*Q10*'Market Data'!$Y$51/('Market Penetration'!Q10*'Market Data'!$W$51))</f>
        <v>0</v>
      </c>
      <c r="AN10" s="461">
        <f>IF('Market Penetration'!R10=0,0,1000*R10*'Market Data'!$Y$51/('Market Penetration'!R10*'Market Data'!$W$51))</f>
        <v>0</v>
      </c>
      <c r="AO10" s="690">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5">
      <c r="A11" s="403">
        <v>2009</v>
      </c>
      <c r="B11" s="423">
        <f t="shared" si="12"/>
        <v>1</v>
      </c>
      <c r="C11" s="424">
        <f>'7&amp;8 Sleep'!$M78+'7&amp;8 Sleep'!$Z78</f>
        <v>0</v>
      </c>
      <c r="D11" s="424">
        <f>'7&amp;8 Sleep'!$M130+'7&amp;8 Sleep'!$Z130</f>
        <v>0</v>
      </c>
      <c r="E11" s="700">
        <f>'7&amp;8 Sleep'!$M182+'7&amp;8 Sleep'!$Z182</f>
        <v>0</v>
      </c>
      <c r="F11" s="424">
        <f>'7&amp;8 Sleep'!$M235+'7&amp;8 Sleep'!$Z235</f>
        <v>0</v>
      </c>
      <c r="G11" s="658">
        <f>'7&amp;8 Sleep'!$M288+'7&amp;8 Sleep'!$Z288</f>
        <v>0</v>
      </c>
      <c r="H11" s="853">
        <f t="shared" si="13"/>
        <v>1</v>
      </c>
      <c r="I11" s="658">
        <f>'7&amp;8 Day'!$M78+'7&amp;8 Day'!$Z78</f>
        <v>0</v>
      </c>
      <c r="J11" s="658">
        <f>'7&amp;8 Day'!$M130+'7&amp;8 Day'!$Z130</f>
        <v>0</v>
      </c>
      <c r="K11" s="658">
        <f>'7&amp;8 Day'!$M182+'7&amp;8 Day'!$Z182</f>
        <v>0</v>
      </c>
      <c r="L11" s="658">
        <f>'7&amp;8 Day'!$M235+'7&amp;8 Day'!$Z235</f>
        <v>0</v>
      </c>
      <c r="M11" s="705">
        <f>'7&amp;8 Day'!$M288+'7&amp;8 Day'!$Z288</f>
        <v>0</v>
      </c>
      <c r="N11" s="423">
        <f t="shared" si="14"/>
        <v>1</v>
      </c>
      <c r="O11" s="424">
        <f>'7&amp;8 SU'!$M78+'7&amp;8 SU'!$Z78</f>
        <v>0</v>
      </c>
      <c r="P11" s="424">
        <f>'7&amp;8 SU'!$M130+'7&amp;8 SU'!$Z130</f>
        <v>0</v>
      </c>
      <c r="Q11" s="700">
        <f>'7&amp;8 SU'!$M182+'7&amp;8 SU'!$Z182</f>
        <v>0</v>
      </c>
      <c r="R11" s="424">
        <f>'7&amp;8 SU'!$M235+'7&amp;8 SU'!$Z235</f>
        <v>0</v>
      </c>
      <c r="S11" s="658">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5">
        <f>IF('Market Penetration'!E11=0,0,1000*E11*'Market Data'!$E$51/('Market Penetration'!E11*'Market Data'!$C$51))</f>
        <v>0</v>
      </c>
      <c r="AB11" s="461">
        <f>IF('Market Penetration'!F11=0,0,1000*F11*'Market Data'!$E$51/('Market Penetration'!F11*'Market Data'!$C$51))</f>
        <v>0</v>
      </c>
      <c r="AC11" s="690">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5">
        <f>IF('Market Penetration'!Q11=0,0,1000*Q11*'Market Data'!$Y$51/('Market Penetration'!Q11*'Market Data'!$W$51))</f>
        <v>0</v>
      </c>
      <c r="AN11" s="461">
        <f>IF('Market Penetration'!R11=0,0,1000*R11*'Market Data'!$Y$51/('Market Penetration'!R11*'Market Data'!$W$51))</f>
        <v>0</v>
      </c>
      <c r="AO11" s="690">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5">
      <c r="A12" s="403">
        <v>2010</v>
      </c>
      <c r="B12" s="426">
        <f t="shared" si="12"/>
        <v>1</v>
      </c>
      <c r="C12" s="427">
        <f>'7&amp;8 Sleep'!$M79+'7&amp;8 Sleep'!$Z79</f>
        <v>0</v>
      </c>
      <c r="D12" s="427">
        <f>'7&amp;8 Sleep'!$M131+'7&amp;8 Sleep'!$Z131</f>
        <v>0</v>
      </c>
      <c r="E12" s="701">
        <f>'7&amp;8 Sleep'!$M183+'7&amp;8 Sleep'!$Z183</f>
        <v>0</v>
      </c>
      <c r="F12" s="427">
        <f>'7&amp;8 Sleep'!$M236+'7&amp;8 Sleep'!$Z236</f>
        <v>0</v>
      </c>
      <c r="G12" s="659">
        <f>'7&amp;8 Sleep'!$M289+'7&amp;8 Sleep'!$Z289</f>
        <v>0</v>
      </c>
      <c r="H12" s="854">
        <f t="shared" si="13"/>
        <v>1</v>
      </c>
      <c r="I12" s="659">
        <f>'7&amp;8 Day'!$M79+'7&amp;8 Day'!$Z79</f>
        <v>0</v>
      </c>
      <c r="J12" s="659">
        <f>'7&amp;8 Day'!$M131+'7&amp;8 Day'!$Z131</f>
        <v>0</v>
      </c>
      <c r="K12" s="659">
        <f>'7&amp;8 Day'!$M183+'7&amp;8 Day'!$Z183</f>
        <v>0</v>
      </c>
      <c r="L12" s="659">
        <f>'7&amp;8 Day'!$M236+'7&amp;8 Day'!$Z236</f>
        <v>0</v>
      </c>
      <c r="M12" s="706">
        <f>'7&amp;8 Day'!$M289+'7&amp;8 Day'!$Z289</f>
        <v>0</v>
      </c>
      <c r="N12" s="426">
        <f t="shared" si="14"/>
        <v>1</v>
      </c>
      <c r="O12" s="427">
        <f>'7&amp;8 SU'!$M79+'7&amp;8 SU'!$Z79</f>
        <v>0</v>
      </c>
      <c r="P12" s="427">
        <f>'7&amp;8 SU'!$M131+'7&amp;8 SU'!$Z131</f>
        <v>0</v>
      </c>
      <c r="Q12" s="701">
        <f>'7&amp;8 SU'!$M183+'7&amp;8 SU'!$Z183</f>
        <v>0</v>
      </c>
      <c r="R12" s="427">
        <f>'7&amp;8 SU'!$M236+'7&amp;8 SU'!$Z236</f>
        <v>0</v>
      </c>
      <c r="S12" s="659">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6">
        <f>IF('Market Penetration'!E12=0,0,1000*E12*'Market Data'!$E$51/('Market Penetration'!E12*'Market Data'!$C$51))</f>
        <v>0</v>
      </c>
      <c r="AB12" s="464">
        <f>IF('Market Penetration'!F12=0,0,1000*F12*'Market Data'!$E$51/('Market Penetration'!F12*'Market Data'!$C$51))</f>
        <v>0</v>
      </c>
      <c r="AC12" s="691">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6">
        <f>IF('Market Penetration'!Q12=0,0,1000*Q12*'Market Data'!$Y$51/('Market Penetration'!Q12*'Market Data'!$W$51))</f>
        <v>0</v>
      </c>
      <c r="AN12" s="464">
        <f>IF('Market Penetration'!R12=0,0,1000*R12*'Market Data'!$Y$51/('Market Penetration'!R12*'Market Data'!$W$51))</f>
        <v>0</v>
      </c>
      <c r="AO12" s="691">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5">
      <c r="A13" s="429">
        <v>2011</v>
      </c>
      <c r="B13" s="430">
        <f t="shared" si="12"/>
        <v>1</v>
      </c>
      <c r="C13" s="431">
        <f>'7&amp;8 Sleep'!$M80+'7&amp;8 Sleep'!$Z80</f>
        <v>0</v>
      </c>
      <c r="D13" s="431">
        <f>'7&amp;8 Sleep'!$M132+'7&amp;8 Sleep'!$Z132</f>
        <v>0</v>
      </c>
      <c r="E13" s="702">
        <f>'7&amp;8 Sleep'!$M184+'7&amp;8 Sleep'!$Z184</f>
        <v>0</v>
      </c>
      <c r="F13" s="431">
        <f>'7&amp;8 Sleep'!$M237+'7&amp;8 Sleep'!$Z237</f>
        <v>0</v>
      </c>
      <c r="G13" s="660">
        <f>'7&amp;8 Sleep'!$M290+'7&amp;8 Sleep'!$Z290</f>
        <v>0</v>
      </c>
      <c r="H13" s="855">
        <f t="shared" si="13"/>
        <v>1</v>
      </c>
      <c r="I13" s="660">
        <f>'7&amp;8 Day'!$M80+'7&amp;8 Day'!$Z80</f>
        <v>0</v>
      </c>
      <c r="J13" s="660">
        <f>'7&amp;8 Day'!$M132+'7&amp;8 Day'!$Z132</f>
        <v>0</v>
      </c>
      <c r="K13" s="660">
        <f>'7&amp;8 Day'!$M184+'7&amp;8 Day'!$Z184</f>
        <v>0</v>
      </c>
      <c r="L13" s="660">
        <f>'7&amp;8 Day'!$M237+'7&amp;8 Day'!$Z237</f>
        <v>0</v>
      </c>
      <c r="M13" s="707">
        <f>'7&amp;8 Day'!$M290+'7&amp;8 Day'!$Z290</f>
        <v>0</v>
      </c>
      <c r="N13" s="430">
        <f t="shared" si="14"/>
        <v>1</v>
      </c>
      <c r="O13" s="431">
        <f>'7&amp;8 SU'!$M80+'7&amp;8 SU'!$Z80</f>
        <v>0</v>
      </c>
      <c r="P13" s="431">
        <f>'7&amp;8 SU'!$M132+'7&amp;8 SU'!$Z132</f>
        <v>0</v>
      </c>
      <c r="Q13" s="702">
        <f>'7&amp;8 SU'!$M184+'7&amp;8 SU'!$Z184</f>
        <v>0</v>
      </c>
      <c r="R13" s="431">
        <f>'7&amp;8 SU'!$M237+'7&amp;8 SU'!$Z237</f>
        <v>0</v>
      </c>
      <c r="S13" s="660">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7">
        <f>IF('Market Penetration'!E13=0,0,1000*E13*'Market Data'!$E$51/('Market Penetration'!E13*'Market Data'!$C$51))</f>
        <v>0</v>
      </c>
      <c r="AB13" s="467">
        <f>IF('Market Penetration'!F13=0,0,1000*F13*'Market Data'!$E$51/('Market Penetration'!F13*'Market Data'!$C$51))</f>
        <v>0</v>
      </c>
      <c r="AC13" s="692">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0">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7">
        <f>IF('Market Penetration'!Q13=0,0,1000*Q13*'Market Data'!$Y$51/('Market Penetration'!Q13*'Market Data'!$W$51))</f>
        <v>0</v>
      </c>
      <c r="AN13" s="467">
        <f>IF('Market Penetration'!R13=0,0,1000*R13*'Market Data'!$Y$51/('Market Penetration'!R13*'Market Data'!$W$51))</f>
        <v>0</v>
      </c>
      <c r="AO13" s="692">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5">
      <c r="A14" s="403">
        <v>2012</v>
      </c>
      <c r="B14" s="423">
        <f t="shared" si="12"/>
        <v>1</v>
      </c>
      <c r="C14" s="424">
        <f>'7&amp;8 Sleep'!$M81+'7&amp;8 Sleep'!$Z81</f>
        <v>0</v>
      </c>
      <c r="D14" s="424">
        <f>'7&amp;8 Sleep'!$M133+'7&amp;8 Sleep'!$Z133</f>
        <v>0</v>
      </c>
      <c r="E14" s="700">
        <f>'7&amp;8 Sleep'!$M185+'7&amp;8 Sleep'!$Z185</f>
        <v>0</v>
      </c>
      <c r="F14" s="424">
        <f>'7&amp;8 Sleep'!$M238+'7&amp;8 Sleep'!$Z238</f>
        <v>0</v>
      </c>
      <c r="G14" s="658">
        <f>'7&amp;8 Sleep'!$M291+'7&amp;8 Sleep'!$Z291</f>
        <v>0</v>
      </c>
      <c r="H14" s="853">
        <f t="shared" si="13"/>
        <v>1</v>
      </c>
      <c r="I14" s="658">
        <f>'7&amp;8 Day'!$M81+'7&amp;8 Day'!$Z81</f>
        <v>0</v>
      </c>
      <c r="J14" s="658">
        <f>'7&amp;8 Day'!$M133+'7&amp;8 Day'!$Z133</f>
        <v>0</v>
      </c>
      <c r="K14" s="658">
        <f>'7&amp;8 Day'!$M185+'7&amp;8 Day'!$Z185</f>
        <v>0</v>
      </c>
      <c r="L14" s="658">
        <f>'7&amp;8 Day'!$M238+'7&amp;8 Day'!$Z238</f>
        <v>0</v>
      </c>
      <c r="M14" s="705">
        <f>'7&amp;8 Day'!$M291+'7&amp;8 Day'!$Z291</f>
        <v>0</v>
      </c>
      <c r="N14" s="423">
        <f t="shared" si="14"/>
        <v>1</v>
      </c>
      <c r="O14" s="424">
        <f>'7&amp;8 SU'!$M81+'7&amp;8 SU'!$Z81</f>
        <v>0</v>
      </c>
      <c r="P14" s="424">
        <f>'7&amp;8 SU'!$M133+'7&amp;8 SU'!$Z133</f>
        <v>0</v>
      </c>
      <c r="Q14" s="700">
        <f>'7&amp;8 SU'!$M185+'7&amp;8 SU'!$Z185</f>
        <v>0</v>
      </c>
      <c r="R14" s="424">
        <f>'7&amp;8 SU'!$M238+'7&amp;8 SU'!$Z238</f>
        <v>0</v>
      </c>
      <c r="S14" s="658">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5">
        <f>IF('Market Penetration'!E14=0,0,1000*E14*'Market Data'!$E$51/('Market Penetration'!E14*'Market Data'!$C$51))</f>
        <v>0</v>
      </c>
      <c r="AB14" s="461">
        <f>IF('Market Penetration'!F14=0,0,1000*F14*'Market Data'!$E$51/('Market Penetration'!F14*'Market Data'!$C$51))</f>
        <v>0</v>
      </c>
      <c r="AC14" s="690">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5">
        <f>IF('Market Penetration'!Q14=0,0,1000*Q14*'Market Data'!$Y$51/('Market Penetration'!Q14*'Market Data'!$W$51))</f>
        <v>0</v>
      </c>
      <c r="AN14" s="461">
        <f>IF('Market Penetration'!R14=0,0,1000*R14*'Market Data'!$Y$51/('Market Penetration'!R14*'Market Data'!$W$51))</f>
        <v>0</v>
      </c>
      <c r="AO14" s="690">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5">
      <c r="A15" s="403">
        <v>2013</v>
      </c>
      <c r="B15" s="423">
        <f t="shared" si="12"/>
        <v>1</v>
      </c>
      <c r="C15" s="424">
        <f>'7&amp;8 Sleep'!$M82+'7&amp;8 Sleep'!$Z82</f>
        <v>0</v>
      </c>
      <c r="D15" s="424">
        <f>'7&amp;8 Sleep'!$M134+'7&amp;8 Sleep'!$Z134</f>
        <v>0</v>
      </c>
      <c r="E15" s="700">
        <f>'7&amp;8 Sleep'!$M186+'7&amp;8 Sleep'!$Z186</f>
        <v>0</v>
      </c>
      <c r="F15" s="424">
        <f>'7&amp;8 Sleep'!$M239+'7&amp;8 Sleep'!$Z239</f>
        <v>0</v>
      </c>
      <c r="G15" s="658">
        <f>'7&amp;8 Sleep'!$M292+'7&amp;8 Sleep'!$Z292</f>
        <v>0</v>
      </c>
      <c r="H15" s="853">
        <f t="shared" si="13"/>
        <v>1</v>
      </c>
      <c r="I15" s="658">
        <f>'7&amp;8 Day'!$M82+'7&amp;8 Day'!$Z82</f>
        <v>0</v>
      </c>
      <c r="J15" s="658">
        <f>'7&amp;8 Day'!$M134+'7&amp;8 Day'!$Z134</f>
        <v>0</v>
      </c>
      <c r="K15" s="658">
        <f>'7&amp;8 Day'!$M186+'7&amp;8 Day'!$Z186</f>
        <v>0</v>
      </c>
      <c r="L15" s="658">
        <f>'7&amp;8 Day'!$M239+'7&amp;8 Day'!$Z239</f>
        <v>0</v>
      </c>
      <c r="M15" s="705">
        <f>'7&amp;8 Day'!$M292+'7&amp;8 Day'!$Z292</f>
        <v>0</v>
      </c>
      <c r="N15" s="423">
        <f t="shared" si="14"/>
        <v>1</v>
      </c>
      <c r="O15" s="424">
        <f>'7&amp;8 SU'!$M82+'7&amp;8 SU'!$Z82</f>
        <v>0</v>
      </c>
      <c r="P15" s="424">
        <f>'7&amp;8 SU'!$M134+'7&amp;8 SU'!$Z134</f>
        <v>0</v>
      </c>
      <c r="Q15" s="700">
        <f>'7&amp;8 SU'!$M186+'7&amp;8 SU'!$Z186</f>
        <v>0</v>
      </c>
      <c r="R15" s="424">
        <f>'7&amp;8 SU'!$M239+'7&amp;8 SU'!$Z239</f>
        <v>0</v>
      </c>
      <c r="S15" s="658">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5">
        <f>IF('Market Penetration'!E15=0,0,1000*E15*'Market Data'!$E$51/('Market Penetration'!E15*'Market Data'!$C$51))</f>
        <v>0</v>
      </c>
      <c r="AB15" s="461">
        <f>IF('Market Penetration'!F15=0,0,1000*F15*'Market Data'!$E$51/('Market Penetration'!F15*'Market Data'!$C$51))</f>
        <v>0</v>
      </c>
      <c r="AC15" s="690">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5">
        <f>IF('Market Penetration'!Q15=0,0,1000*Q15*'Market Data'!$Y$51/('Market Penetration'!Q15*'Market Data'!$W$51))</f>
        <v>0</v>
      </c>
      <c r="AN15" s="461">
        <f>IF('Market Penetration'!R15=0,0,1000*R15*'Market Data'!$Y$51/('Market Penetration'!R15*'Market Data'!$W$51))</f>
        <v>0</v>
      </c>
      <c r="AO15" s="690">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5">
      <c r="A16" s="403">
        <v>2014</v>
      </c>
      <c r="B16" s="423">
        <f t="shared" si="12"/>
        <v>1</v>
      </c>
      <c r="C16" s="424">
        <f>'7&amp;8 Sleep'!$M83+'7&amp;8 Sleep'!$Z83</f>
        <v>0</v>
      </c>
      <c r="D16" s="424">
        <f>'7&amp;8 Sleep'!$M135+'7&amp;8 Sleep'!$Z135</f>
        <v>0</v>
      </c>
      <c r="E16" s="700">
        <f>'7&amp;8 Sleep'!$M187+'7&amp;8 Sleep'!$Z187</f>
        <v>0</v>
      </c>
      <c r="F16" s="424">
        <f>'7&amp;8 Sleep'!$M240+'7&amp;8 Sleep'!$Z240</f>
        <v>0</v>
      </c>
      <c r="G16" s="658">
        <f>'7&amp;8 Sleep'!$M293+'7&amp;8 Sleep'!$Z293</f>
        <v>0</v>
      </c>
      <c r="H16" s="853">
        <f t="shared" si="13"/>
        <v>1</v>
      </c>
      <c r="I16" s="658">
        <f>'7&amp;8 Day'!$M83+'7&amp;8 Day'!$Z83</f>
        <v>0</v>
      </c>
      <c r="J16" s="658">
        <f>'7&amp;8 Day'!$M135+'7&amp;8 Day'!$Z135</f>
        <v>0</v>
      </c>
      <c r="K16" s="658">
        <f>'7&amp;8 Day'!$M187+'7&amp;8 Day'!$Z187</f>
        <v>0</v>
      </c>
      <c r="L16" s="658">
        <f>'7&amp;8 Day'!$M240+'7&amp;8 Day'!$Z240</f>
        <v>0</v>
      </c>
      <c r="M16" s="705">
        <f>'7&amp;8 Day'!$M293+'7&amp;8 Day'!$Z293</f>
        <v>0</v>
      </c>
      <c r="N16" s="423">
        <f t="shared" si="14"/>
        <v>1</v>
      </c>
      <c r="O16" s="424">
        <f>'7&amp;8 SU'!$M83+'7&amp;8 SU'!$Z83</f>
        <v>0</v>
      </c>
      <c r="P16" s="424">
        <f>'7&amp;8 SU'!$M135+'7&amp;8 SU'!$Z135</f>
        <v>0</v>
      </c>
      <c r="Q16" s="700">
        <f>'7&amp;8 SU'!$M187+'7&amp;8 SU'!$Z187</f>
        <v>0</v>
      </c>
      <c r="R16" s="424">
        <f>'7&amp;8 SU'!$M240+'7&amp;8 SU'!$Z240</f>
        <v>0</v>
      </c>
      <c r="S16" s="658">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5">
        <f>IF('Market Penetration'!E16=0,0,1000*E16*'Market Data'!$E$51/('Market Penetration'!E16*'Market Data'!$C$51))</f>
        <v>0</v>
      </c>
      <c r="AB16" s="461">
        <f>IF('Market Penetration'!F16=0,0,1000*F16*'Market Data'!$E$51/('Market Penetration'!F16*'Market Data'!$C$51))</f>
        <v>0</v>
      </c>
      <c r="AC16" s="690">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5">
        <f>IF('Market Penetration'!Q16=0,0,1000*Q16*'Market Data'!$Y$51/('Market Penetration'!Q16*'Market Data'!$W$51))</f>
        <v>0</v>
      </c>
      <c r="AN16" s="461">
        <f>IF('Market Penetration'!R16=0,0,1000*R16*'Market Data'!$Y$51/('Market Penetration'!R16*'Market Data'!$W$51))</f>
        <v>0</v>
      </c>
      <c r="AO16" s="690">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5">
      <c r="A17" s="402">
        <v>2015</v>
      </c>
      <c r="B17" s="426">
        <f t="shared" si="12"/>
        <v>1</v>
      </c>
      <c r="C17" s="427">
        <f>'7&amp;8 Sleep'!$M84+'7&amp;8 Sleep'!$Z84</f>
        <v>0</v>
      </c>
      <c r="D17" s="427">
        <f>'7&amp;8 Sleep'!$M136+'7&amp;8 Sleep'!$Z136</f>
        <v>0</v>
      </c>
      <c r="E17" s="701">
        <f>'7&amp;8 Sleep'!$M188+'7&amp;8 Sleep'!$Z188</f>
        <v>0</v>
      </c>
      <c r="F17" s="427">
        <f>'7&amp;8 Sleep'!$M241+'7&amp;8 Sleep'!$Z241</f>
        <v>0</v>
      </c>
      <c r="G17" s="659">
        <f>'7&amp;8 Sleep'!$M294+'7&amp;8 Sleep'!$Z294</f>
        <v>0</v>
      </c>
      <c r="H17" s="854">
        <f t="shared" si="13"/>
        <v>1</v>
      </c>
      <c r="I17" s="659">
        <f>'7&amp;8 Day'!$M84+'7&amp;8 Day'!$Z84</f>
        <v>0</v>
      </c>
      <c r="J17" s="659">
        <f>'7&amp;8 Day'!$M136+'7&amp;8 Day'!$Z136</f>
        <v>0</v>
      </c>
      <c r="K17" s="659">
        <f>'7&amp;8 Day'!$M188+'7&amp;8 Day'!$Z188</f>
        <v>0</v>
      </c>
      <c r="L17" s="659">
        <f>'7&amp;8 Day'!$M241+'7&amp;8 Day'!$Z241</f>
        <v>0</v>
      </c>
      <c r="M17" s="706">
        <f>'7&amp;8 Day'!$M294+'7&amp;8 Day'!$Z294</f>
        <v>0</v>
      </c>
      <c r="N17" s="426">
        <f t="shared" si="14"/>
        <v>1</v>
      </c>
      <c r="O17" s="427">
        <f>'7&amp;8 SU'!$M84+'7&amp;8 SU'!$Z84</f>
        <v>0</v>
      </c>
      <c r="P17" s="427">
        <f>'7&amp;8 SU'!$M136+'7&amp;8 SU'!$Z136</f>
        <v>0</v>
      </c>
      <c r="Q17" s="701">
        <f>'7&amp;8 SU'!$M188+'7&amp;8 SU'!$Z188</f>
        <v>0</v>
      </c>
      <c r="R17" s="427">
        <f>'7&amp;8 SU'!$M241+'7&amp;8 SU'!$Z241</f>
        <v>0</v>
      </c>
      <c r="S17" s="659">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6">
        <f>IF('Market Penetration'!E17=0,0,1000*E17*'Market Data'!$E$51/('Market Penetration'!E17*'Market Data'!$C$51))</f>
        <v>0</v>
      </c>
      <c r="AB17" s="464">
        <f>IF('Market Penetration'!F17=0,0,1000*F17*'Market Data'!$E$51/('Market Penetration'!F17*'Market Data'!$C$51))</f>
        <v>0</v>
      </c>
      <c r="AC17" s="691">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6">
        <f>IF('Market Penetration'!Q17=0,0,1000*Q17*'Market Data'!$Y$51/('Market Penetration'!Q17*'Market Data'!$W$51))</f>
        <v>0</v>
      </c>
      <c r="AN17" s="464">
        <f>IF('Market Penetration'!R17=0,0,1000*R17*'Market Data'!$Y$51/('Market Penetration'!R17*'Market Data'!$W$51))</f>
        <v>0</v>
      </c>
      <c r="AO17" s="691">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5">
      <c r="A18" s="429">
        <v>2016</v>
      </c>
      <c r="B18" s="430">
        <f t="shared" si="12"/>
        <v>1</v>
      </c>
      <c r="C18" s="431">
        <f>'7&amp;8 Sleep'!$M85+'7&amp;8 Sleep'!$Z85</f>
        <v>0</v>
      </c>
      <c r="D18" s="431">
        <f>'7&amp;8 Sleep'!$M137+'7&amp;8 Sleep'!$Z137</f>
        <v>0</v>
      </c>
      <c r="E18" s="702">
        <f>'7&amp;8 Sleep'!$M189+'7&amp;8 Sleep'!$Z189</f>
        <v>0</v>
      </c>
      <c r="F18" s="431">
        <f>'7&amp;8 Sleep'!$M242+'7&amp;8 Sleep'!$Z242</f>
        <v>0</v>
      </c>
      <c r="G18" s="660">
        <f>'7&amp;8 Sleep'!$M295+'7&amp;8 Sleep'!$Z295</f>
        <v>0</v>
      </c>
      <c r="H18" s="855">
        <f t="shared" si="13"/>
        <v>1</v>
      </c>
      <c r="I18" s="660">
        <f>'7&amp;8 Day'!$M85+'7&amp;8 Day'!$Z85</f>
        <v>0</v>
      </c>
      <c r="J18" s="660">
        <f>'7&amp;8 Day'!$M137+'7&amp;8 Day'!$Z137</f>
        <v>0</v>
      </c>
      <c r="K18" s="660">
        <f>'7&amp;8 Day'!$M189+'7&amp;8 Day'!$Z189</f>
        <v>0</v>
      </c>
      <c r="L18" s="660">
        <f>'7&amp;8 Day'!$M242+'7&amp;8 Day'!$Z242</f>
        <v>0</v>
      </c>
      <c r="M18" s="707">
        <f>'7&amp;8 Day'!$M295+'7&amp;8 Day'!$Z295</f>
        <v>0</v>
      </c>
      <c r="N18" s="430">
        <f t="shared" si="14"/>
        <v>1</v>
      </c>
      <c r="O18" s="431">
        <f>'7&amp;8 SU'!$M85+'7&amp;8 SU'!$Z85</f>
        <v>0</v>
      </c>
      <c r="P18" s="431">
        <f>'7&amp;8 SU'!$M137+'7&amp;8 SU'!$Z137</f>
        <v>0</v>
      </c>
      <c r="Q18" s="702">
        <f>'7&amp;8 SU'!$M189+'7&amp;8 SU'!$Z189</f>
        <v>0</v>
      </c>
      <c r="R18" s="431">
        <f>'7&amp;8 SU'!$M242+'7&amp;8 SU'!$Z242</f>
        <v>0</v>
      </c>
      <c r="S18" s="660">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7">
        <f>IF('Market Penetration'!E18=0,0,1000*E18*'Market Data'!$E$51/('Market Penetration'!E18*'Market Data'!$C$51))</f>
        <v>0</v>
      </c>
      <c r="AB18" s="467">
        <f>IF('Market Penetration'!F18=0,0,1000*F18*'Market Data'!$E$51/('Market Penetration'!F18*'Market Data'!$C$51))</f>
        <v>0</v>
      </c>
      <c r="AC18" s="692">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0">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7">
        <f>IF('Market Penetration'!Q18=0,0,1000*Q18*'Market Data'!$Y$51/('Market Penetration'!Q18*'Market Data'!$W$51))</f>
        <v>0</v>
      </c>
      <c r="AN18" s="467">
        <f>IF('Market Penetration'!R18=0,0,1000*R18*'Market Data'!$Y$51/('Market Penetration'!R18*'Market Data'!$W$51))</f>
        <v>0</v>
      </c>
      <c r="AO18" s="692">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5">
      <c r="A19" s="403">
        <v>2017</v>
      </c>
      <c r="B19" s="423">
        <f t="shared" si="12"/>
        <v>1</v>
      </c>
      <c r="C19" s="424">
        <f>'7&amp;8 Sleep'!$M86+'7&amp;8 Sleep'!$Z86</f>
        <v>0</v>
      </c>
      <c r="D19" s="424">
        <f>'7&amp;8 Sleep'!$M138+'7&amp;8 Sleep'!$Z138</f>
        <v>0</v>
      </c>
      <c r="E19" s="700">
        <f>'7&amp;8 Sleep'!$M190+'7&amp;8 Sleep'!$Z190</f>
        <v>0</v>
      </c>
      <c r="F19" s="424">
        <f>'7&amp;8 Sleep'!$M243+'7&amp;8 Sleep'!$Z243</f>
        <v>0</v>
      </c>
      <c r="G19" s="658">
        <f>'7&amp;8 Sleep'!$M296+'7&amp;8 Sleep'!$Z296</f>
        <v>0</v>
      </c>
      <c r="H19" s="853">
        <f t="shared" si="13"/>
        <v>1</v>
      </c>
      <c r="I19" s="658">
        <f>'7&amp;8 Day'!$M86+'7&amp;8 Day'!$Z86</f>
        <v>0</v>
      </c>
      <c r="J19" s="658">
        <f>'7&amp;8 Day'!$M138+'7&amp;8 Day'!$Z138</f>
        <v>0</v>
      </c>
      <c r="K19" s="658">
        <f>'7&amp;8 Day'!$M190+'7&amp;8 Day'!$Z190</f>
        <v>0</v>
      </c>
      <c r="L19" s="658">
        <f>'7&amp;8 Day'!$M243+'7&amp;8 Day'!$Z243</f>
        <v>0</v>
      </c>
      <c r="M19" s="705">
        <f>'7&amp;8 Day'!$M296+'7&amp;8 Day'!$Z296</f>
        <v>0</v>
      </c>
      <c r="N19" s="423">
        <f t="shared" si="14"/>
        <v>1</v>
      </c>
      <c r="O19" s="424">
        <f>'7&amp;8 SU'!$M86+'7&amp;8 SU'!$Z86</f>
        <v>0</v>
      </c>
      <c r="P19" s="424">
        <f>'7&amp;8 SU'!$M138+'7&amp;8 SU'!$Z138</f>
        <v>0</v>
      </c>
      <c r="Q19" s="700">
        <f>'7&amp;8 SU'!$M190+'7&amp;8 SU'!$Z190</f>
        <v>0</v>
      </c>
      <c r="R19" s="424">
        <f>'7&amp;8 SU'!$M243+'7&amp;8 SU'!$Z243</f>
        <v>0</v>
      </c>
      <c r="S19" s="658">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5">
        <f>IF('Market Penetration'!E19=0,0,1000*E19*'Market Data'!$E$51/('Market Penetration'!E19*'Market Data'!$C$51))</f>
        <v>0</v>
      </c>
      <c r="AB19" s="461">
        <f>IF('Market Penetration'!F19=0,0,1000*F19*'Market Data'!$E$51/('Market Penetration'!F19*'Market Data'!$C$51))</f>
        <v>0</v>
      </c>
      <c r="AC19" s="690">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5">
        <f>IF('Market Penetration'!Q19=0,0,1000*Q19*'Market Data'!$Y$51/('Market Penetration'!Q19*'Market Data'!$W$51))</f>
        <v>0</v>
      </c>
      <c r="AN19" s="461">
        <f>IF('Market Penetration'!R19=0,0,1000*R19*'Market Data'!$Y$51/('Market Penetration'!R19*'Market Data'!$W$51))</f>
        <v>0</v>
      </c>
      <c r="AO19" s="690">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5">
      <c r="A20" s="403">
        <v>2018</v>
      </c>
      <c r="B20" s="423">
        <f t="shared" si="12"/>
        <v>1</v>
      </c>
      <c r="C20" s="424">
        <f>'7&amp;8 Sleep'!$M87+'7&amp;8 Sleep'!$Z87</f>
        <v>0</v>
      </c>
      <c r="D20" s="424">
        <f>'7&amp;8 Sleep'!$M139+'7&amp;8 Sleep'!$Z139</f>
        <v>0</v>
      </c>
      <c r="E20" s="700">
        <f>'7&amp;8 Sleep'!$M191+'7&amp;8 Sleep'!$Z191</f>
        <v>0</v>
      </c>
      <c r="F20" s="424">
        <f>'7&amp;8 Sleep'!$M244+'7&amp;8 Sleep'!$Z244</f>
        <v>0</v>
      </c>
      <c r="G20" s="658">
        <f>'7&amp;8 Sleep'!$M297+'7&amp;8 Sleep'!$Z297</f>
        <v>0</v>
      </c>
      <c r="H20" s="853">
        <f t="shared" si="13"/>
        <v>1</v>
      </c>
      <c r="I20" s="658">
        <f>'7&amp;8 Day'!$M87+'7&amp;8 Day'!$Z87</f>
        <v>0</v>
      </c>
      <c r="J20" s="658">
        <f>'7&amp;8 Day'!$M139+'7&amp;8 Day'!$Z139</f>
        <v>0</v>
      </c>
      <c r="K20" s="658">
        <f>'7&amp;8 Day'!$M191+'7&amp;8 Day'!$Z191</f>
        <v>0</v>
      </c>
      <c r="L20" s="658">
        <f>'7&amp;8 Day'!$M244+'7&amp;8 Day'!$Z244</f>
        <v>0</v>
      </c>
      <c r="M20" s="705">
        <f>'7&amp;8 Day'!$M297+'7&amp;8 Day'!$Z297</f>
        <v>0</v>
      </c>
      <c r="N20" s="423">
        <f t="shared" si="14"/>
        <v>1</v>
      </c>
      <c r="O20" s="424">
        <f>'7&amp;8 SU'!$M87+'7&amp;8 SU'!$Z87</f>
        <v>0</v>
      </c>
      <c r="P20" s="424">
        <f>'7&amp;8 SU'!$M139+'7&amp;8 SU'!$Z139</f>
        <v>0</v>
      </c>
      <c r="Q20" s="700">
        <f>'7&amp;8 SU'!$M191+'7&amp;8 SU'!$Z191</f>
        <v>0</v>
      </c>
      <c r="R20" s="424">
        <f>'7&amp;8 SU'!$M244+'7&amp;8 SU'!$Z244</f>
        <v>0</v>
      </c>
      <c r="S20" s="658">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5">
        <f>IF('Market Penetration'!E20=0,0,1000*E20*'Market Data'!$E$51/('Market Penetration'!E20*'Market Data'!$C$51))</f>
        <v>0</v>
      </c>
      <c r="AB20" s="461">
        <f>IF('Market Penetration'!F20=0,0,1000*F20*'Market Data'!$E$51/('Market Penetration'!F20*'Market Data'!$C$51))</f>
        <v>0</v>
      </c>
      <c r="AC20" s="690">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5">
        <f>IF('Market Penetration'!Q20=0,0,1000*Q20*'Market Data'!$Y$51/('Market Penetration'!Q20*'Market Data'!$W$51))</f>
        <v>0</v>
      </c>
      <c r="AN20" s="461">
        <f>IF('Market Penetration'!R20=0,0,1000*R20*'Market Data'!$Y$51/('Market Penetration'!R20*'Market Data'!$W$51))</f>
        <v>0</v>
      </c>
      <c r="AO20" s="690">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5">
      <c r="A21" s="403">
        <v>2019</v>
      </c>
      <c r="B21" s="423">
        <f t="shared" si="12"/>
        <v>1</v>
      </c>
      <c r="C21" s="424">
        <f>'7&amp;8 Sleep'!$M88+'7&amp;8 Sleep'!$Z88</f>
        <v>0</v>
      </c>
      <c r="D21" s="424">
        <f>'7&amp;8 Sleep'!$M140+'7&amp;8 Sleep'!$Z140</f>
        <v>0</v>
      </c>
      <c r="E21" s="700">
        <f>'7&amp;8 Sleep'!$M192+'7&amp;8 Sleep'!$Z192</f>
        <v>0</v>
      </c>
      <c r="F21" s="424">
        <f>'7&amp;8 Sleep'!$M245+'7&amp;8 Sleep'!$Z245</f>
        <v>0</v>
      </c>
      <c r="G21" s="658">
        <f>'7&amp;8 Sleep'!$M298+'7&amp;8 Sleep'!$Z298</f>
        <v>0</v>
      </c>
      <c r="H21" s="853">
        <f t="shared" si="13"/>
        <v>1</v>
      </c>
      <c r="I21" s="658">
        <f>'7&amp;8 Day'!$M88+'7&amp;8 Day'!$Z88</f>
        <v>0</v>
      </c>
      <c r="J21" s="658">
        <f>'7&amp;8 Day'!$M140+'7&amp;8 Day'!$Z140</f>
        <v>0</v>
      </c>
      <c r="K21" s="658">
        <f>'7&amp;8 Day'!$M192+'7&amp;8 Day'!$Z192</f>
        <v>0</v>
      </c>
      <c r="L21" s="658">
        <f>'7&amp;8 Day'!$M245+'7&amp;8 Day'!$Z245</f>
        <v>0</v>
      </c>
      <c r="M21" s="705">
        <f>'7&amp;8 Day'!$M298+'7&amp;8 Day'!$Z298</f>
        <v>0</v>
      </c>
      <c r="N21" s="423">
        <f t="shared" si="14"/>
        <v>1</v>
      </c>
      <c r="O21" s="424">
        <f>'7&amp;8 SU'!$M88+'7&amp;8 SU'!$Z88</f>
        <v>0</v>
      </c>
      <c r="P21" s="424">
        <f>'7&amp;8 SU'!$M140+'7&amp;8 SU'!$Z140</f>
        <v>0</v>
      </c>
      <c r="Q21" s="700">
        <f>'7&amp;8 SU'!$M192+'7&amp;8 SU'!$Z192</f>
        <v>0</v>
      </c>
      <c r="R21" s="424">
        <f>'7&amp;8 SU'!$M245+'7&amp;8 SU'!$Z245</f>
        <v>0</v>
      </c>
      <c r="S21" s="658">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5">
        <f>IF('Market Penetration'!E21=0,0,1000*E21*'Market Data'!$E$51/('Market Penetration'!E21*'Market Data'!$C$51))</f>
        <v>0</v>
      </c>
      <c r="AB21" s="461">
        <f>IF('Market Penetration'!F21=0,0,1000*F21*'Market Data'!$E$51/('Market Penetration'!F21*'Market Data'!$C$51))</f>
        <v>0</v>
      </c>
      <c r="AC21" s="690">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5">
        <f>IF('Market Penetration'!Q21=0,0,1000*Q21*'Market Data'!$Y$51/('Market Penetration'!Q21*'Market Data'!$W$51))</f>
        <v>0</v>
      </c>
      <c r="AN21" s="461">
        <f>IF('Market Penetration'!R21=0,0,1000*R21*'Market Data'!$Y$51/('Market Penetration'!R21*'Market Data'!$W$51))</f>
        <v>0</v>
      </c>
      <c r="AO21" s="690">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5">
      <c r="A22" s="402">
        <v>2020</v>
      </c>
      <c r="B22" s="426">
        <f t="shared" si="12"/>
        <v>1</v>
      </c>
      <c r="C22" s="427">
        <f>'7&amp;8 Sleep'!$M89+'7&amp;8 Sleep'!$Z89</f>
        <v>0</v>
      </c>
      <c r="D22" s="427">
        <f>'7&amp;8 Sleep'!$M141+'7&amp;8 Sleep'!$Z141</f>
        <v>0</v>
      </c>
      <c r="E22" s="701">
        <f>'7&amp;8 Sleep'!$M193+'7&amp;8 Sleep'!$Z193</f>
        <v>0</v>
      </c>
      <c r="F22" s="427">
        <f>'7&amp;8 Sleep'!$M246+'7&amp;8 Sleep'!$Z246</f>
        <v>0</v>
      </c>
      <c r="G22" s="659">
        <f>'7&amp;8 Sleep'!$M299+'7&amp;8 Sleep'!$Z299</f>
        <v>0</v>
      </c>
      <c r="H22" s="854">
        <f t="shared" si="13"/>
        <v>1</v>
      </c>
      <c r="I22" s="659">
        <f>'7&amp;8 Day'!$M89+'7&amp;8 Day'!$Z89</f>
        <v>0</v>
      </c>
      <c r="J22" s="659">
        <f>'7&amp;8 Day'!$M141+'7&amp;8 Day'!$Z141</f>
        <v>0</v>
      </c>
      <c r="K22" s="659">
        <f>'7&amp;8 Day'!$M193+'7&amp;8 Day'!$Z193</f>
        <v>0</v>
      </c>
      <c r="L22" s="659">
        <f>'7&amp;8 Day'!$M246+'7&amp;8 Day'!$Z246</f>
        <v>0</v>
      </c>
      <c r="M22" s="706">
        <f>'7&amp;8 Day'!$M299+'7&amp;8 Day'!$Z299</f>
        <v>0</v>
      </c>
      <c r="N22" s="426">
        <f t="shared" si="14"/>
        <v>1</v>
      </c>
      <c r="O22" s="427">
        <f>'7&amp;8 SU'!$M89+'7&amp;8 SU'!$Z89</f>
        <v>0</v>
      </c>
      <c r="P22" s="427">
        <f>'7&amp;8 SU'!$M141+'7&amp;8 SU'!$Z141</f>
        <v>0</v>
      </c>
      <c r="Q22" s="701">
        <f>'7&amp;8 SU'!$M193+'7&amp;8 SU'!$Z193</f>
        <v>0</v>
      </c>
      <c r="R22" s="427">
        <f>'7&amp;8 SU'!$M246+'7&amp;8 SU'!$Z246</f>
        <v>0</v>
      </c>
      <c r="S22" s="659">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6">
        <f>IF('Market Penetration'!E22=0,0,1000*E22*'Market Data'!$E$51/('Market Penetration'!E22*'Market Data'!$C$51))</f>
        <v>0</v>
      </c>
      <c r="AB22" s="464">
        <f>IF('Market Penetration'!F22=0,0,1000*F22*'Market Data'!$E$51/('Market Penetration'!F22*'Market Data'!$C$51))</f>
        <v>0</v>
      </c>
      <c r="AC22" s="691">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6">
        <f>IF('Market Penetration'!Q22=0,0,1000*Q22*'Market Data'!$Y$51/('Market Penetration'!Q22*'Market Data'!$W$51))</f>
        <v>0</v>
      </c>
      <c r="AN22" s="464">
        <f>IF('Market Penetration'!R22=0,0,1000*R22*'Market Data'!$Y$51/('Market Penetration'!R22*'Market Data'!$W$51))</f>
        <v>0</v>
      </c>
      <c r="AO22" s="691">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5">
      <c r="A23" s="429">
        <v>2021</v>
      </c>
      <c r="B23" s="430">
        <f t="shared" si="12"/>
        <v>1</v>
      </c>
      <c r="C23" s="431">
        <f>'7&amp;8 Sleep'!$M90+'7&amp;8 Sleep'!$Z90</f>
        <v>0</v>
      </c>
      <c r="D23" s="431">
        <f>'7&amp;8 Sleep'!$M142+'7&amp;8 Sleep'!$Z142</f>
        <v>0</v>
      </c>
      <c r="E23" s="702">
        <f>'7&amp;8 Sleep'!$M194+'7&amp;8 Sleep'!$Z194</f>
        <v>0</v>
      </c>
      <c r="F23" s="431">
        <f>'7&amp;8 Sleep'!$M247+'7&amp;8 Sleep'!$Z247</f>
        <v>0</v>
      </c>
      <c r="G23" s="660">
        <f>'7&amp;8 Sleep'!$M300+'7&amp;8 Sleep'!$Z300</f>
        <v>0</v>
      </c>
      <c r="H23" s="855">
        <f t="shared" si="13"/>
        <v>1</v>
      </c>
      <c r="I23" s="660">
        <f>'7&amp;8 Day'!$M90+'7&amp;8 Day'!$Z90</f>
        <v>0</v>
      </c>
      <c r="J23" s="660">
        <f>'7&amp;8 Day'!$M142+'7&amp;8 Day'!$Z142</f>
        <v>0</v>
      </c>
      <c r="K23" s="660">
        <f>'7&amp;8 Day'!$M194+'7&amp;8 Day'!$Z194</f>
        <v>0</v>
      </c>
      <c r="L23" s="660">
        <f>'7&amp;8 Day'!$M247+'7&amp;8 Day'!$Z247</f>
        <v>0</v>
      </c>
      <c r="M23" s="707">
        <f>'7&amp;8 Day'!$M300+'7&amp;8 Day'!$Z300</f>
        <v>0</v>
      </c>
      <c r="N23" s="430">
        <f t="shared" si="14"/>
        <v>1</v>
      </c>
      <c r="O23" s="431">
        <f>'7&amp;8 SU'!$M90+'7&amp;8 SU'!$Z90</f>
        <v>0</v>
      </c>
      <c r="P23" s="431">
        <f>'7&amp;8 SU'!$M142+'7&amp;8 SU'!$Z142</f>
        <v>0</v>
      </c>
      <c r="Q23" s="702">
        <f>'7&amp;8 SU'!$M194+'7&amp;8 SU'!$Z194</f>
        <v>0</v>
      </c>
      <c r="R23" s="431">
        <f>'7&amp;8 SU'!$M247+'7&amp;8 SU'!$Z247</f>
        <v>0</v>
      </c>
      <c r="S23" s="660">
        <f>'7&amp;8 SU'!$M300+'7&amp;8 SU'!$Z300</f>
        <v>0</v>
      </c>
      <c r="T23" s="433">
        <f>B23*'Market Data'!$E$52+H23*'Market Data'!$O$52+N23*+N23*'Market Data'!$Y$52</f>
        <v>1</v>
      </c>
      <c r="U23" s="434">
        <f>SUM(C23:G23)*'Market Data'!$E$52+SUM(I23:M23)*'Market Data'!$O$52+SUM(O23:S23)*+N23*'Market Data'!$Y$52</f>
        <v>0</v>
      </c>
      <c r="W23" s="429">
        <v>2021</v>
      </c>
      <c r="X23" s="466">
        <f>IF('Market Penetration'!B23=0,0,1000*B23*'Market Data'!$E$51/('Market Penetration'!B23*'Market Data'!$C$51))</f>
        <v>114290.39175651137</v>
      </c>
      <c r="Y23" s="467">
        <f>IF('Market Penetration'!C23=0,0,1000*C23*'Market Data'!$E$51/('Market Penetration'!C23*'Market Data'!$C$51))</f>
        <v>0</v>
      </c>
      <c r="Z23" s="467">
        <f>IF('Market Penetration'!D23=0,0,1000*D23*'Market Data'!$E$51/('Market Penetration'!D23*'Market Data'!$C$51))</f>
        <v>0</v>
      </c>
      <c r="AA23" s="697">
        <f>IF('Market Penetration'!E23=0,0,1000*E23*'Market Data'!$E$51/('Market Penetration'!E23*'Market Data'!$C$51))</f>
        <v>0</v>
      </c>
      <c r="AB23" s="467">
        <f>IF('Market Penetration'!F23=0,0,1000*F23*'Market Data'!$E$51/('Market Penetration'!F23*'Market Data'!$C$51))</f>
        <v>0</v>
      </c>
      <c r="AC23" s="692">
        <f>IF('Market Penetration'!G23=0,0,1000*G23*'Market Data'!$E$51/('Market Penetration'!G23*'Market Data'!$C$51))</f>
        <v>0</v>
      </c>
      <c r="AD23" s="466">
        <f>IF('Market Penetration'!H23=0,0,1000*H23*'Market Data'!$O$51/('Market Penetration'!H23*'Market Data'!$M$51))</f>
        <v>76984.800905352895</v>
      </c>
      <c r="AE23" s="467">
        <f>IF('Market Penetration'!I23=0,0,1000*I23*'Market Data'!$O$51/('Market Penetration'!I23*'Market Data'!$M$51))</f>
        <v>0</v>
      </c>
      <c r="AF23" s="467">
        <f>IF('Market Penetration'!J23=0,0,1000*J23*'Market Data'!$O$51/('Market Penetration'!J23*'Market Data'!$M$51))</f>
        <v>0</v>
      </c>
      <c r="AG23" s="467">
        <f>IF('Market Penetration'!K23=0,0,1000*K23*'Market Data'!$O$51/('Market Penetration'!K23*'Market Data'!$M$51))</f>
        <v>0</v>
      </c>
      <c r="AH23" s="467">
        <f>IF('Market Penetration'!L23=0,0,1000*L23*'Market Data'!$O$51/('Market Penetration'!L23*'Market Data'!$M$51))</f>
        <v>0</v>
      </c>
      <c r="AI23" s="860">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7">
        <f>IF('Market Penetration'!Q23=0,0,1000*Q23*'Market Data'!$Y$51/('Market Penetration'!Q23*'Market Data'!$W$51))</f>
        <v>0</v>
      </c>
      <c r="AN23" s="467">
        <f>IF('Market Penetration'!R23=0,0,1000*R23*'Market Data'!$Y$51/('Market Penetration'!R23*'Market Data'!$W$51))</f>
        <v>0</v>
      </c>
      <c r="AO23" s="692">
        <f>IF('Market Penetration'!S23=0,0,1000*S23*'Market Data'!$Y$51/('Market Penetration'!S23*'Market Data'!$W$51))</f>
        <v>0</v>
      </c>
      <c r="AP23" s="468">
        <f>IF('Market Penetration'!T23=0,0,1000*T23*('Market Data'!$E$51+'Market Data'!$O$51+'Market Data'!$Y$51)/('Market Penetration'!T23*('Market Data'!$C$51+'Market Data'!$M$51+'Market Data'!$W$51)))</f>
        <v>81431.79238084791</v>
      </c>
      <c r="AQ23" s="469">
        <f>IF('Market Penetration'!U23=0,0,1000*U23*('Market Data'!$E$51+'Market Data'!$O$51+'Market Data'!$Y$51)/('Market Penetration'!U23*('Market Data'!$C$51+'Market Data'!$M$51+'Market Data'!$W$51)))</f>
        <v>0</v>
      </c>
    </row>
    <row r="24" spans="1:43" ht="15" x14ac:dyDescent="0.25">
      <c r="A24" s="403">
        <v>2022</v>
      </c>
      <c r="B24" s="423">
        <f t="shared" si="12"/>
        <v>1</v>
      </c>
      <c r="C24" s="424">
        <f>'7&amp;8 Sleep'!$M91+'7&amp;8 Sleep'!$Z91</f>
        <v>0</v>
      </c>
      <c r="D24" s="424">
        <f>'7&amp;8 Sleep'!$M143+'7&amp;8 Sleep'!$Z143</f>
        <v>0</v>
      </c>
      <c r="E24" s="700">
        <f>'7&amp;8 Sleep'!$M195+'7&amp;8 Sleep'!$Z195</f>
        <v>0</v>
      </c>
      <c r="F24" s="424">
        <f>'7&amp;8 Sleep'!$M248+'7&amp;8 Sleep'!$Z248</f>
        <v>0</v>
      </c>
      <c r="G24" s="658">
        <f>'7&amp;8 Sleep'!$M301+'7&amp;8 Sleep'!$Z301</f>
        <v>0</v>
      </c>
      <c r="H24" s="853">
        <f t="shared" si="13"/>
        <v>1</v>
      </c>
      <c r="I24" s="658">
        <f>'7&amp;8 Day'!$M91+'7&amp;8 Day'!$Z91</f>
        <v>0</v>
      </c>
      <c r="J24" s="658">
        <f>'7&amp;8 Day'!$M143+'7&amp;8 Day'!$Z143</f>
        <v>0</v>
      </c>
      <c r="K24" s="658">
        <f>'7&amp;8 Day'!$M195+'7&amp;8 Day'!$Z195</f>
        <v>0</v>
      </c>
      <c r="L24" s="658">
        <f>'7&amp;8 Day'!$M248+'7&amp;8 Day'!$Z248</f>
        <v>0</v>
      </c>
      <c r="M24" s="705">
        <f>'7&amp;8 Day'!$M301+'7&amp;8 Day'!$Z301</f>
        <v>0</v>
      </c>
      <c r="N24" s="423">
        <f t="shared" si="14"/>
        <v>1</v>
      </c>
      <c r="O24" s="424">
        <f>'7&amp;8 SU'!$M91+'7&amp;8 SU'!$Z91</f>
        <v>0</v>
      </c>
      <c r="P24" s="424">
        <f>'7&amp;8 SU'!$M143+'7&amp;8 SU'!$Z143</f>
        <v>0</v>
      </c>
      <c r="Q24" s="700">
        <f>'7&amp;8 SU'!$M195+'7&amp;8 SU'!$Z195</f>
        <v>0</v>
      </c>
      <c r="R24" s="424">
        <f>'7&amp;8 SU'!$M248+'7&amp;8 SU'!$Z248</f>
        <v>0</v>
      </c>
      <c r="S24" s="658">
        <f>'7&amp;8 SU'!$M301+'7&amp;8 SU'!$Z301</f>
        <v>0</v>
      </c>
      <c r="T24" s="423">
        <f>B24*'Market Data'!$E$52+H24*'Market Data'!$O$52+N24*+N24*'Market Data'!$Y$52</f>
        <v>1</v>
      </c>
      <c r="U24" s="425">
        <f>SUM(C24:G24)*'Market Data'!$E$52+SUM(I24:M24)*'Market Data'!$O$52+SUM(O24:S24)*+N24*'Market Data'!$Y$52</f>
        <v>0</v>
      </c>
      <c r="W24" s="403">
        <v>2022</v>
      </c>
      <c r="X24" s="460">
        <f>IF('Market Penetration'!B24=0,0,1000*B24*'Market Data'!$E$51/('Market Penetration'!B24*'Market Data'!$C$51))</f>
        <v>114290.39175651137</v>
      </c>
      <c r="Y24" s="461">
        <f>IF('Market Penetration'!C24=0,0,1000*C24*'Market Data'!$E$51/('Market Penetration'!C24*'Market Data'!$C$51))</f>
        <v>0</v>
      </c>
      <c r="Z24" s="461">
        <f>IF('Market Penetration'!D24=0,0,1000*D24*'Market Data'!$E$51/('Market Penetration'!D24*'Market Data'!$C$51))</f>
        <v>0</v>
      </c>
      <c r="AA24" s="695">
        <f>IF('Market Penetration'!E24=0,0,1000*E24*'Market Data'!$E$51/('Market Penetration'!E24*'Market Data'!$C$51))</f>
        <v>0</v>
      </c>
      <c r="AB24" s="461">
        <f>IF('Market Penetration'!F24=0,0,1000*F24*'Market Data'!$E$51/('Market Penetration'!F24*'Market Data'!$C$51))</f>
        <v>0</v>
      </c>
      <c r="AC24" s="690">
        <f>IF('Market Penetration'!G24=0,0,1000*G24*'Market Data'!$E$51/('Market Penetration'!G24*'Market Data'!$C$51))</f>
        <v>0</v>
      </c>
      <c r="AD24" s="460">
        <f>IF('Market Penetration'!H24=0,0,1000*H24*'Market Data'!$O$51/('Market Penetration'!H24*'Market Data'!$M$51))</f>
        <v>76984.800905352895</v>
      </c>
      <c r="AE24" s="461">
        <f>IF('Market Penetration'!I24=0,0,1000*I24*'Market Data'!$O$51/('Market Penetration'!I24*'Market Data'!$M$51))</f>
        <v>0</v>
      </c>
      <c r="AF24" s="461">
        <f>IF('Market Penetration'!J24=0,0,1000*J24*'Market Data'!$O$51/('Market Penetration'!J24*'Market Data'!$M$51))</f>
        <v>0</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27261.021505205488</v>
      </c>
      <c r="AK24" s="461">
        <f>IF('Market Penetration'!O24=0,0,1000*O24*'Market Data'!$Y$51/('Market Penetration'!O24*'Market Data'!$W$51))</f>
        <v>0</v>
      </c>
      <c r="AL24" s="461">
        <f>IF('Market Penetration'!P24=0,0,1000*P24*'Market Data'!$Y$51/('Market Penetration'!P24*'Market Data'!$W$51))</f>
        <v>0</v>
      </c>
      <c r="AM24" s="695">
        <f>IF('Market Penetration'!Q24=0,0,1000*Q24*'Market Data'!$Y$51/('Market Penetration'!Q24*'Market Data'!$W$51))</f>
        <v>0</v>
      </c>
      <c r="AN24" s="461">
        <f>IF('Market Penetration'!R24=0,0,1000*R24*'Market Data'!$Y$51/('Market Penetration'!R24*'Market Data'!$W$51))</f>
        <v>0</v>
      </c>
      <c r="AO24" s="690">
        <f>IF('Market Penetration'!S24=0,0,1000*S24*'Market Data'!$Y$51/('Market Penetration'!S24*'Market Data'!$W$51))</f>
        <v>0</v>
      </c>
      <c r="AP24" s="460">
        <f>IF('Market Penetration'!T24=0,0,1000*T24*('Market Data'!$E$51+'Market Data'!$O$51+'Market Data'!$Y$51)/('Market Penetration'!T24*('Market Data'!$C$51+'Market Data'!$M$51+'Market Data'!$W$51)))</f>
        <v>81431.79238084791</v>
      </c>
      <c r="AQ24" s="462">
        <f>IF('Market Penetration'!U24=0,0,1000*U24*('Market Data'!$E$51+'Market Data'!$O$51+'Market Data'!$Y$51)/('Market Penetration'!U24*('Market Data'!$C$51+'Market Data'!$M$51+'Market Data'!$W$51)))</f>
        <v>0</v>
      </c>
    </row>
    <row r="25" spans="1:43" ht="15" x14ac:dyDescent="0.25">
      <c r="A25" s="403">
        <v>2023</v>
      </c>
      <c r="B25" s="423">
        <f t="shared" si="12"/>
        <v>1</v>
      </c>
      <c r="C25" s="424">
        <f>'7&amp;8 Sleep'!$M92+'7&amp;8 Sleep'!$Z92</f>
        <v>0</v>
      </c>
      <c r="D25" s="424">
        <f>'7&amp;8 Sleep'!$M144+'7&amp;8 Sleep'!$Z144</f>
        <v>0</v>
      </c>
      <c r="E25" s="700">
        <f>'7&amp;8 Sleep'!$M196+'7&amp;8 Sleep'!$Z196</f>
        <v>0</v>
      </c>
      <c r="F25" s="424">
        <f>'7&amp;8 Sleep'!$M249+'7&amp;8 Sleep'!$Z249</f>
        <v>0</v>
      </c>
      <c r="G25" s="658">
        <f>'7&amp;8 Sleep'!$M302+'7&amp;8 Sleep'!$Z302</f>
        <v>0</v>
      </c>
      <c r="H25" s="853">
        <f t="shared" si="13"/>
        <v>1</v>
      </c>
      <c r="I25" s="658">
        <f>'7&amp;8 Day'!$M92+'7&amp;8 Day'!$Z92</f>
        <v>0</v>
      </c>
      <c r="J25" s="658">
        <f>'7&amp;8 Day'!$M144+'7&amp;8 Day'!$Z144</f>
        <v>0</v>
      </c>
      <c r="K25" s="658">
        <f>'7&amp;8 Day'!$M196+'7&amp;8 Day'!$Z196</f>
        <v>0</v>
      </c>
      <c r="L25" s="658">
        <f>'7&amp;8 Day'!$M249+'7&amp;8 Day'!$Z249</f>
        <v>0</v>
      </c>
      <c r="M25" s="705">
        <f>'7&amp;8 Day'!$M302+'7&amp;8 Day'!$Z302</f>
        <v>0</v>
      </c>
      <c r="N25" s="423">
        <f t="shared" si="14"/>
        <v>1</v>
      </c>
      <c r="O25" s="424">
        <f>'7&amp;8 SU'!$M92+'7&amp;8 SU'!$Z92</f>
        <v>0</v>
      </c>
      <c r="P25" s="424">
        <f>'7&amp;8 SU'!$M144+'7&amp;8 SU'!$Z144</f>
        <v>0</v>
      </c>
      <c r="Q25" s="700">
        <f>'7&amp;8 SU'!$M196+'7&amp;8 SU'!$Z196</f>
        <v>0</v>
      </c>
      <c r="R25" s="424">
        <f>'7&amp;8 SU'!$M249+'7&amp;8 SU'!$Z249</f>
        <v>0</v>
      </c>
      <c r="S25" s="658">
        <f>'7&amp;8 SU'!$M302+'7&amp;8 SU'!$Z302</f>
        <v>0</v>
      </c>
      <c r="T25" s="423">
        <f>B25*'Market Data'!$E$52+H25*'Market Data'!$O$52+N25*+N25*'Market Data'!$Y$52</f>
        <v>1</v>
      </c>
      <c r="U25" s="425">
        <f>SUM(C25:G25)*'Market Data'!$E$52+SUM(I25:M25)*'Market Data'!$O$52+SUM(O25:S25)*+N25*'Market Data'!$Y$52</f>
        <v>0</v>
      </c>
      <c r="W25" s="403">
        <v>2023</v>
      </c>
      <c r="X25" s="460">
        <f>IF('Market Penetration'!B25=0,0,1000*B25*'Market Data'!$E$51/('Market Penetration'!B25*'Market Data'!$C$51))</f>
        <v>114290.39175651137</v>
      </c>
      <c r="Y25" s="461">
        <f>IF('Market Penetration'!C25=0,0,1000*C25*'Market Data'!$E$51/('Market Penetration'!C25*'Market Data'!$C$51))</f>
        <v>0</v>
      </c>
      <c r="Z25" s="461">
        <f>IF('Market Penetration'!D25=0,0,1000*D25*'Market Data'!$E$51/('Market Penetration'!D25*'Market Data'!$C$51))</f>
        <v>0</v>
      </c>
      <c r="AA25" s="695">
        <f>IF('Market Penetration'!E25=0,0,1000*E25*'Market Data'!$E$51/('Market Penetration'!E25*'Market Data'!$C$51))</f>
        <v>0</v>
      </c>
      <c r="AB25" s="461">
        <f>IF('Market Penetration'!F25=0,0,1000*F25*'Market Data'!$E$51/('Market Penetration'!F25*'Market Data'!$C$51))</f>
        <v>0</v>
      </c>
      <c r="AC25" s="690">
        <f>IF('Market Penetration'!G25=0,0,1000*G25*'Market Data'!$E$51/('Market Penetration'!G25*'Market Data'!$C$51))</f>
        <v>0</v>
      </c>
      <c r="AD25" s="460">
        <f>IF('Market Penetration'!H25=0,0,1000*H25*'Market Data'!$O$51/('Market Penetration'!H25*'Market Data'!$M$51))</f>
        <v>76984.800905352895</v>
      </c>
      <c r="AE25" s="461">
        <f>IF('Market Penetration'!I25=0,0,1000*I25*'Market Data'!$O$51/('Market Penetration'!I25*'Market Data'!$M$51))</f>
        <v>0</v>
      </c>
      <c r="AF25" s="461">
        <f>IF('Market Penetration'!J25=0,0,1000*J25*'Market Data'!$O$51/('Market Penetration'!J25*'Market Data'!$M$51))</f>
        <v>0</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27261.021505205488</v>
      </c>
      <c r="AK25" s="461">
        <f>IF('Market Penetration'!O25=0,0,1000*O25*'Market Data'!$Y$51/('Market Penetration'!O25*'Market Data'!$W$51))</f>
        <v>0</v>
      </c>
      <c r="AL25" s="461">
        <f>IF('Market Penetration'!P25=0,0,1000*P25*'Market Data'!$Y$51/('Market Penetration'!P25*'Market Data'!$W$51))</f>
        <v>0</v>
      </c>
      <c r="AM25" s="695">
        <f>IF('Market Penetration'!Q25=0,0,1000*Q25*'Market Data'!$Y$51/('Market Penetration'!Q25*'Market Data'!$W$51))</f>
        <v>0</v>
      </c>
      <c r="AN25" s="461">
        <f>IF('Market Penetration'!R25=0,0,1000*R25*'Market Data'!$Y$51/('Market Penetration'!R25*'Market Data'!$W$51))</f>
        <v>0</v>
      </c>
      <c r="AO25" s="690">
        <f>IF('Market Penetration'!S25=0,0,1000*S25*'Market Data'!$Y$51/('Market Penetration'!S25*'Market Data'!$W$51))</f>
        <v>0</v>
      </c>
      <c r="AP25" s="460">
        <f>IF('Market Penetration'!T25=0,0,1000*T25*('Market Data'!$E$51+'Market Data'!$O$51+'Market Data'!$Y$51)/('Market Penetration'!T25*('Market Data'!$C$51+'Market Data'!$M$51+'Market Data'!$W$51)))</f>
        <v>81431.79238084791</v>
      </c>
      <c r="AQ25" s="462">
        <f>IF('Market Penetration'!U25=0,0,1000*U25*('Market Data'!$E$51+'Market Data'!$O$51+'Market Data'!$Y$51)/('Market Penetration'!U25*('Market Data'!$C$51+'Market Data'!$M$51+'Market Data'!$W$51)))</f>
        <v>0</v>
      </c>
    </row>
    <row r="26" spans="1:43" ht="15" x14ac:dyDescent="0.25">
      <c r="A26" s="403">
        <v>2024</v>
      </c>
      <c r="B26" s="423">
        <f t="shared" si="12"/>
        <v>1</v>
      </c>
      <c r="C26" s="424">
        <f>'7&amp;8 Sleep'!$M93+'7&amp;8 Sleep'!$Z93</f>
        <v>0</v>
      </c>
      <c r="D26" s="424">
        <f>'7&amp;8 Sleep'!$M145+'7&amp;8 Sleep'!$Z145</f>
        <v>0</v>
      </c>
      <c r="E26" s="700">
        <f>'7&amp;8 Sleep'!$M197+'7&amp;8 Sleep'!$Z197</f>
        <v>0</v>
      </c>
      <c r="F26" s="424">
        <f>'7&amp;8 Sleep'!$M250+'7&amp;8 Sleep'!$Z250</f>
        <v>0</v>
      </c>
      <c r="G26" s="658">
        <f>'7&amp;8 Sleep'!$M303+'7&amp;8 Sleep'!$Z303</f>
        <v>0</v>
      </c>
      <c r="H26" s="853">
        <f t="shared" si="13"/>
        <v>1</v>
      </c>
      <c r="I26" s="658">
        <f>'7&amp;8 Day'!$M93+'7&amp;8 Day'!$Z93</f>
        <v>0</v>
      </c>
      <c r="J26" s="658">
        <f>'7&amp;8 Day'!$M145+'7&amp;8 Day'!$Z145</f>
        <v>0</v>
      </c>
      <c r="K26" s="658">
        <f>'7&amp;8 Day'!$M197+'7&amp;8 Day'!$Z197</f>
        <v>0</v>
      </c>
      <c r="L26" s="658">
        <f>'7&amp;8 Day'!$M250+'7&amp;8 Day'!$Z250</f>
        <v>0</v>
      </c>
      <c r="M26" s="705">
        <f>'7&amp;8 Day'!$M303+'7&amp;8 Day'!$Z303</f>
        <v>0</v>
      </c>
      <c r="N26" s="423">
        <f t="shared" si="14"/>
        <v>1</v>
      </c>
      <c r="O26" s="424">
        <f>'7&amp;8 SU'!$M93+'7&amp;8 SU'!$Z93</f>
        <v>0</v>
      </c>
      <c r="P26" s="424">
        <f>'7&amp;8 SU'!$M145+'7&amp;8 SU'!$Z145</f>
        <v>0</v>
      </c>
      <c r="Q26" s="700">
        <f>'7&amp;8 SU'!$M197+'7&amp;8 SU'!$Z197</f>
        <v>0</v>
      </c>
      <c r="R26" s="424">
        <f>'7&amp;8 SU'!$M250+'7&amp;8 SU'!$Z250</f>
        <v>0</v>
      </c>
      <c r="S26" s="658">
        <f>'7&amp;8 SU'!$M303+'7&amp;8 SU'!$Z303</f>
        <v>0</v>
      </c>
      <c r="T26" s="423">
        <f>B26*'Market Data'!$E$52+H26*'Market Data'!$O$52+N26*+N26*'Market Data'!$Y$52</f>
        <v>1</v>
      </c>
      <c r="U26" s="425">
        <f>SUM(C26:G26)*'Market Data'!$E$52+SUM(I26:M26)*'Market Data'!$O$52+SUM(O26:S26)*+N26*'Market Data'!$Y$52</f>
        <v>0</v>
      </c>
      <c r="W26" s="403">
        <v>2024</v>
      </c>
      <c r="X26" s="460">
        <f>IF('Market Penetration'!B26=0,0,1000*B26*'Market Data'!$E$51/('Market Penetration'!B26*'Market Data'!$C$51))</f>
        <v>114290.39175651137</v>
      </c>
      <c r="Y26" s="461">
        <f>IF('Market Penetration'!C26=0,0,1000*C26*'Market Data'!$E$51/('Market Penetration'!C26*'Market Data'!$C$51))</f>
        <v>0</v>
      </c>
      <c r="Z26" s="461">
        <f>IF('Market Penetration'!D26=0,0,1000*D26*'Market Data'!$E$51/('Market Penetration'!D26*'Market Data'!$C$51))</f>
        <v>0</v>
      </c>
      <c r="AA26" s="695">
        <f>IF('Market Penetration'!E26=0,0,1000*E26*'Market Data'!$E$51/('Market Penetration'!E26*'Market Data'!$C$51))</f>
        <v>0</v>
      </c>
      <c r="AB26" s="461">
        <f>IF('Market Penetration'!F26=0,0,1000*F26*'Market Data'!$E$51/('Market Penetration'!F26*'Market Data'!$C$51))</f>
        <v>0</v>
      </c>
      <c r="AC26" s="690">
        <f>IF('Market Penetration'!G26=0,0,1000*G26*'Market Data'!$E$51/('Market Penetration'!G26*'Market Data'!$C$51))</f>
        <v>0</v>
      </c>
      <c r="AD26" s="460">
        <f>IF('Market Penetration'!H26=0,0,1000*H26*'Market Data'!$O$51/('Market Penetration'!H26*'Market Data'!$M$51))</f>
        <v>76984.800905352895</v>
      </c>
      <c r="AE26" s="461">
        <f>IF('Market Penetration'!I26=0,0,1000*I26*'Market Data'!$O$51/('Market Penetration'!I26*'Market Data'!$M$51))</f>
        <v>0</v>
      </c>
      <c r="AF26" s="461">
        <f>IF('Market Penetration'!J26=0,0,1000*J26*'Market Data'!$O$51/('Market Penetration'!J26*'Market Data'!$M$51))</f>
        <v>0</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27261.021505205488</v>
      </c>
      <c r="AK26" s="461">
        <f>IF('Market Penetration'!O26=0,0,1000*O26*'Market Data'!$Y$51/('Market Penetration'!O26*'Market Data'!$W$51))</f>
        <v>0</v>
      </c>
      <c r="AL26" s="461">
        <f>IF('Market Penetration'!P26=0,0,1000*P26*'Market Data'!$Y$51/('Market Penetration'!P26*'Market Data'!$W$51))</f>
        <v>0</v>
      </c>
      <c r="AM26" s="695">
        <f>IF('Market Penetration'!Q26=0,0,1000*Q26*'Market Data'!$Y$51/('Market Penetration'!Q26*'Market Data'!$W$51))</f>
        <v>0</v>
      </c>
      <c r="AN26" s="461">
        <f>IF('Market Penetration'!R26=0,0,1000*R26*'Market Data'!$Y$51/('Market Penetration'!R26*'Market Data'!$W$51))</f>
        <v>0</v>
      </c>
      <c r="AO26" s="690">
        <f>IF('Market Penetration'!S26=0,0,1000*S26*'Market Data'!$Y$51/('Market Penetration'!S26*'Market Data'!$W$51))</f>
        <v>0</v>
      </c>
      <c r="AP26" s="460">
        <f>IF('Market Penetration'!T26=0,0,1000*T26*('Market Data'!$E$51+'Market Data'!$O$51+'Market Data'!$Y$51)/('Market Penetration'!T26*('Market Data'!$C$51+'Market Data'!$M$51+'Market Data'!$W$51)))</f>
        <v>81431.79238084791</v>
      </c>
      <c r="AQ26" s="462">
        <f>IF('Market Penetration'!U26=0,0,1000*U26*('Market Data'!$E$51+'Market Data'!$O$51+'Market Data'!$Y$51)/('Market Penetration'!U26*('Market Data'!$C$51+'Market Data'!$M$51+'Market Data'!$W$51)))</f>
        <v>0</v>
      </c>
    </row>
    <row r="27" spans="1:43" ht="15" x14ac:dyDescent="0.25">
      <c r="A27" s="402">
        <v>2025</v>
      </c>
      <c r="B27" s="426">
        <f t="shared" si="12"/>
        <v>1</v>
      </c>
      <c r="C27" s="427">
        <f>'7&amp;8 Sleep'!$M94+'7&amp;8 Sleep'!$Z94</f>
        <v>0</v>
      </c>
      <c r="D27" s="427">
        <f>'7&amp;8 Sleep'!$M146+'7&amp;8 Sleep'!$Z146</f>
        <v>0</v>
      </c>
      <c r="E27" s="701">
        <f>'7&amp;8 Sleep'!$M198+'7&amp;8 Sleep'!$Z198</f>
        <v>0</v>
      </c>
      <c r="F27" s="427">
        <f>'7&amp;8 Sleep'!$M251+'7&amp;8 Sleep'!$Z251</f>
        <v>0</v>
      </c>
      <c r="G27" s="659">
        <f>'7&amp;8 Sleep'!$M304+'7&amp;8 Sleep'!$Z304</f>
        <v>0</v>
      </c>
      <c r="H27" s="854">
        <f t="shared" si="13"/>
        <v>1</v>
      </c>
      <c r="I27" s="659">
        <f>'7&amp;8 Day'!$M94+'7&amp;8 Day'!$Z94</f>
        <v>0</v>
      </c>
      <c r="J27" s="659">
        <f>'7&amp;8 Day'!$M146+'7&amp;8 Day'!$Z146</f>
        <v>0</v>
      </c>
      <c r="K27" s="659">
        <f>'7&amp;8 Day'!$M198+'7&amp;8 Day'!$Z198</f>
        <v>0</v>
      </c>
      <c r="L27" s="659">
        <f>'7&amp;8 Day'!$M251+'7&amp;8 Day'!$Z251</f>
        <v>0</v>
      </c>
      <c r="M27" s="706">
        <f>'7&amp;8 Day'!$M304+'7&amp;8 Day'!$Z304</f>
        <v>0</v>
      </c>
      <c r="N27" s="426">
        <f t="shared" si="14"/>
        <v>1</v>
      </c>
      <c r="O27" s="427">
        <f>'7&amp;8 SU'!$M94+'7&amp;8 SU'!$Z94</f>
        <v>0</v>
      </c>
      <c r="P27" s="427">
        <f>'7&amp;8 SU'!$M146+'7&amp;8 SU'!$Z146</f>
        <v>0</v>
      </c>
      <c r="Q27" s="701">
        <f>'7&amp;8 SU'!$M198+'7&amp;8 SU'!$Z198</f>
        <v>0</v>
      </c>
      <c r="R27" s="427">
        <f>'7&amp;8 SU'!$M251+'7&amp;8 SU'!$Z251</f>
        <v>0</v>
      </c>
      <c r="S27" s="659">
        <f>'7&amp;8 SU'!$M304+'7&amp;8 SU'!$Z304</f>
        <v>0</v>
      </c>
      <c r="T27" s="426">
        <f>B27*'Market Data'!$E$52+H27*'Market Data'!$O$52+N27*+N27*'Market Data'!$Y$52</f>
        <v>1</v>
      </c>
      <c r="U27" s="428">
        <f>SUM(C27:G27)*'Market Data'!$E$52+SUM(I27:M27)*'Market Data'!$O$52+SUM(O27:S27)*+N27*'Market Data'!$Y$52</f>
        <v>0</v>
      </c>
      <c r="W27" s="402">
        <v>2025</v>
      </c>
      <c r="X27" s="463">
        <f>IF('Market Penetration'!B27=0,0,1000*B27*'Market Data'!$E$51/('Market Penetration'!B27*'Market Data'!$C$51))</f>
        <v>114290.39175651137</v>
      </c>
      <c r="Y27" s="464">
        <f>IF('Market Penetration'!C27=0,0,1000*C27*'Market Data'!$E$51/('Market Penetration'!C27*'Market Data'!$C$51))</f>
        <v>0</v>
      </c>
      <c r="Z27" s="464">
        <f>IF('Market Penetration'!D27=0,0,1000*D27*'Market Data'!$E$51/('Market Penetration'!D27*'Market Data'!$C$51))</f>
        <v>0</v>
      </c>
      <c r="AA27" s="696">
        <f>IF('Market Penetration'!E27=0,0,1000*E27*'Market Data'!$E$51/('Market Penetration'!E27*'Market Data'!$C$51))</f>
        <v>0</v>
      </c>
      <c r="AB27" s="464">
        <f>IF('Market Penetration'!F27=0,0,1000*F27*'Market Data'!$E$51/('Market Penetration'!F27*'Market Data'!$C$51))</f>
        <v>0</v>
      </c>
      <c r="AC27" s="691">
        <f>IF('Market Penetration'!G27=0,0,1000*G27*'Market Data'!$E$51/('Market Penetration'!G27*'Market Data'!$C$51))</f>
        <v>0</v>
      </c>
      <c r="AD27" s="463">
        <f>IF('Market Penetration'!H27=0,0,1000*H27*'Market Data'!$O$51/('Market Penetration'!H27*'Market Data'!$M$51))</f>
        <v>76984.800905352895</v>
      </c>
      <c r="AE27" s="464">
        <f>IF('Market Penetration'!I27=0,0,1000*I27*'Market Data'!$O$51/('Market Penetration'!I27*'Market Data'!$M$51))</f>
        <v>0</v>
      </c>
      <c r="AF27" s="464">
        <f>IF('Market Penetration'!J27=0,0,1000*J27*'Market Data'!$O$51/('Market Penetration'!J27*'Market Data'!$M$51))</f>
        <v>0</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27261.021505205488</v>
      </c>
      <c r="AK27" s="464">
        <f>IF('Market Penetration'!O27=0,0,1000*O27*'Market Data'!$Y$51/('Market Penetration'!O27*'Market Data'!$W$51))</f>
        <v>0</v>
      </c>
      <c r="AL27" s="464">
        <f>IF('Market Penetration'!P27=0,0,1000*P27*'Market Data'!$Y$51/('Market Penetration'!P27*'Market Data'!$W$51))</f>
        <v>0</v>
      </c>
      <c r="AM27" s="696">
        <f>IF('Market Penetration'!Q27=0,0,1000*Q27*'Market Data'!$Y$51/('Market Penetration'!Q27*'Market Data'!$W$51))</f>
        <v>0</v>
      </c>
      <c r="AN27" s="464">
        <f>IF('Market Penetration'!R27=0,0,1000*R27*'Market Data'!$Y$51/('Market Penetration'!R27*'Market Data'!$W$51))</f>
        <v>0</v>
      </c>
      <c r="AO27" s="691">
        <f>IF('Market Penetration'!S27=0,0,1000*S27*'Market Data'!$Y$51/('Market Penetration'!S27*'Market Data'!$W$51))</f>
        <v>0</v>
      </c>
      <c r="AP27" s="463">
        <f>IF('Market Penetration'!T27=0,0,1000*T27*('Market Data'!$E$51+'Market Data'!$O$51+'Market Data'!$Y$51)/('Market Penetration'!T27*('Market Data'!$C$51+'Market Data'!$M$51+'Market Data'!$W$51)))</f>
        <v>81431.79238084791</v>
      </c>
      <c r="AQ27" s="465">
        <f>IF('Market Penetration'!U27=0,0,1000*U27*('Market Data'!$E$51+'Market Data'!$O$51+'Market Data'!$Y$51)/('Market Penetration'!U27*('Market Data'!$C$51+'Market Data'!$M$51+'Market Data'!$W$51)))</f>
        <v>0</v>
      </c>
    </row>
    <row r="28" spans="1:43" ht="15" x14ac:dyDescent="0.25">
      <c r="A28" s="429">
        <v>2026</v>
      </c>
      <c r="B28" s="430">
        <f t="shared" si="12"/>
        <v>0.97029815466467906</v>
      </c>
      <c r="C28" s="431">
        <f>'7&amp;8 Sleep'!$M95+'7&amp;8 Sleep'!$Z95</f>
        <v>1.7472785808178248E-2</v>
      </c>
      <c r="D28" s="431">
        <f>'7&amp;8 Sleep'!$M147+'7&amp;8 Sleep'!$Z147</f>
        <v>1.2229059527142662E-2</v>
      </c>
      <c r="E28" s="702">
        <f>'7&amp;8 Sleep'!$M199+'7&amp;8 Sleep'!$Z199</f>
        <v>0</v>
      </c>
      <c r="F28" s="431">
        <f>'7&amp;8 Sleep'!$M252+'7&amp;8 Sleep'!$Z252</f>
        <v>0</v>
      </c>
      <c r="G28" s="660">
        <f>'7&amp;8 Sleep'!$M305+'7&amp;8 Sleep'!$Z305</f>
        <v>0</v>
      </c>
      <c r="H28" s="855">
        <f t="shared" si="13"/>
        <v>0.97388697051278927</v>
      </c>
      <c r="I28" s="660">
        <f>'7&amp;8 Day'!$M95+'7&amp;8 Day'!$Z95</f>
        <v>1.5708954429323567E-2</v>
      </c>
      <c r="J28" s="660">
        <f>'7&amp;8 Day'!$M147+'7&amp;8 Day'!$Z147</f>
        <v>1.0404075057887159E-2</v>
      </c>
      <c r="K28" s="660">
        <f>'7&amp;8 Day'!$M199+'7&amp;8 Day'!$Z199</f>
        <v>0</v>
      </c>
      <c r="L28" s="660">
        <f>'7&amp;8 Day'!$M252+'7&amp;8 Day'!$Z252</f>
        <v>0</v>
      </c>
      <c r="M28" s="707">
        <f>'7&amp;8 Day'!$M305+'7&amp;8 Day'!$Z305</f>
        <v>0</v>
      </c>
      <c r="N28" s="430">
        <f t="shared" si="14"/>
        <v>0.95398585349513054</v>
      </c>
      <c r="O28" s="431">
        <f>'7&amp;8 SU'!$M95+'7&amp;8 SU'!$Z95</f>
        <v>2.758977944360072E-2</v>
      </c>
      <c r="P28" s="431">
        <f>'7&amp;8 SU'!$M147+'7&amp;8 SU'!$Z147</f>
        <v>1.8424367061268751E-2</v>
      </c>
      <c r="Q28" s="702">
        <f>'7&amp;8 SU'!$M199+'7&amp;8 SU'!$Z199</f>
        <v>0</v>
      </c>
      <c r="R28" s="431">
        <f>'7&amp;8 SU'!$M252+'7&amp;8 SU'!$Z252</f>
        <v>0</v>
      </c>
      <c r="S28" s="660">
        <f>'7&amp;8 SU'!$M305+'7&amp;8 SU'!$Z305</f>
        <v>0</v>
      </c>
      <c r="T28" s="433">
        <f>B28*'Market Data'!$E$52+H28*'Market Data'!$O$52+N28*+N28*'Market Data'!$Y$52</f>
        <v>0.9657668014288</v>
      </c>
      <c r="U28" s="434">
        <f>SUM(C28:G28)*'Market Data'!$E$52+SUM(I28:M28)*'Market Data'!$O$52+SUM(O28:S28)*+N28*'Market Data'!$Y$52</f>
        <v>3.0106723199945881E-2</v>
      </c>
      <c r="W28" s="429">
        <v>2026</v>
      </c>
      <c r="X28" s="466">
        <f>IF('Market Penetration'!B28=0,0,1000*B28*'Market Data'!$E$51/('Market Penetration'!B28*'Market Data'!$C$51))</f>
        <v>113840.96943556053</v>
      </c>
      <c r="Y28" s="467">
        <f>IF('Market Penetration'!C28=0,0,1000*C28*'Market Data'!$E$51/('Market Penetration'!C28*'Market Data'!$C$51))</f>
        <v>128582.94405017627</v>
      </c>
      <c r="Z28" s="467">
        <f>IF('Market Penetration'!D28=0,0,1000*D28*'Market Data'!$E$51/('Market Penetration'!D28*'Market Data'!$C$51))</f>
        <v>135161.65345240093</v>
      </c>
      <c r="AA28" s="697">
        <f>IF('Market Penetration'!E28=0,0,1000*E28*'Market Data'!$E$51/('Market Penetration'!E28*'Market Data'!$C$51))</f>
        <v>0</v>
      </c>
      <c r="AB28" s="467">
        <f>IF('Market Penetration'!F28=0,0,1000*F28*'Market Data'!$E$51/('Market Penetration'!F28*'Market Data'!$C$51))</f>
        <v>0</v>
      </c>
      <c r="AC28" s="692">
        <f>IF('Market Penetration'!G28=0,0,1000*G28*'Market Data'!$E$51/('Market Penetration'!G28*'Market Data'!$C$51))</f>
        <v>0</v>
      </c>
      <c r="AD28" s="466">
        <f>IF('Market Penetration'!H28=0,0,1000*H28*'Market Data'!$O$51/('Market Penetration'!H28*'Market Data'!$M$51))</f>
        <v>76336.345842549999</v>
      </c>
      <c r="AE28" s="467">
        <f>IF('Market Penetration'!I28=0,0,1000*I28*'Market Data'!$O$51/('Market Penetration'!I28*'Market Data'!$M$51))</f>
        <v>108317.01950125158</v>
      </c>
      <c r="AF28" s="467">
        <f>IF('Market Penetration'!J28=0,0,1000*J28*'Market Data'!$O$51/('Market Penetration'!J28*'Market Data'!$M$51))</f>
        <v>119989.32841125144</v>
      </c>
      <c r="AG28" s="467">
        <f>IF('Market Penetration'!K28=0,0,1000*K28*'Market Data'!$O$51/('Market Penetration'!K28*'Market Data'!$M$51))</f>
        <v>0</v>
      </c>
      <c r="AH28" s="467">
        <f>IF('Market Penetration'!L28=0,0,1000*L28*'Market Data'!$O$51/('Market Penetration'!L28*'Market Data'!$M$51))</f>
        <v>0</v>
      </c>
      <c r="AI28" s="860">
        <f>IF('Market Penetration'!M28=0,0,1000*M28*'Market Data'!$O$51/('Market Penetration'!M28*'Market Data'!$M$51))</f>
        <v>0</v>
      </c>
      <c r="AJ28" s="466">
        <f>IF('Market Penetration'!N28=0,0,1000*N28*'Market Data'!$Y$51/('Market Penetration'!N28*'Market Data'!$W$51))</f>
        <v>27208.072474747376</v>
      </c>
      <c r="AK28" s="467">
        <f>IF('Market Penetration'!O28=0,0,1000*O28*'Market Data'!$Y$51/('Market Penetration'!O28*'Market Data'!$W$51))</f>
        <v>24623.537657658104</v>
      </c>
      <c r="AL28" s="467">
        <f>IF('Market Penetration'!P28=0,0,1000*P28*'Market Data'!$Y$51/('Market Penetration'!P28*'Market Data'!$W$51))</f>
        <v>36897.132749072225</v>
      </c>
      <c r="AM28" s="697">
        <f>IF('Market Penetration'!Q28=0,0,1000*Q28*'Market Data'!$Y$51/('Market Penetration'!Q28*'Market Data'!$W$51))</f>
        <v>0</v>
      </c>
      <c r="AN28" s="467">
        <f>IF('Market Penetration'!R28=0,0,1000*R28*'Market Data'!$Y$51/('Market Penetration'!R28*'Market Data'!$W$51))</f>
        <v>0</v>
      </c>
      <c r="AO28" s="692">
        <f>IF('Market Penetration'!S28=0,0,1000*S28*'Market Data'!$Y$51/('Market Penetration'!S28*'Market Data'!$W$51))</f>
        <v>0</v>
      </c>
      <c r="AP28" s="468">
        <f>IF('Market Penetration'!T28=0,0,1000*T28*('Market Data'!$E$51+'Market Data'!$O$51+'Market Data'!$Y$51)/('Market Penetration'!T28*('Market Data'!$C$51+'Market Data'!$M$51+'Market Data'!$W$51)))</f>
        <v>80969.1455159951</v>
      </c>
      <c r="AQ28" s="469">
        <f>IF('Market Penetration'!U28=0,0,1000*U28*('Market Data'!$E$51+'Market Data'!$O$51+'Market Data'!$Y$51)/('Market Penetration'!U28*('Market Data'!$C$51+'Market Data'!$M$51+'Market Data'!$W$51)))</f>
        <v>85378.717522136008</v>
      </c>
    </row>
    <row r="29" spans="1:43" ht="15" x14ac:dyDescent="0.25">
      <c r="A29" s="403">
        <v>2027</v>
      </c>
      <c r="B29" s="423">
        <f t="shared" si="12"/>
        <v>0.94888996249908919</v>
      </c>
      <c r="C29" s="424">
        <f>'7&amp;8 Sleep'!$M96+'7&amp;8 Sleep'!$Z96</f>
        <v>2.5006663836713273E-2</v>
      </c>
      <c r="D29" s="424">
        <f>'7&amp;8 Sleep'!$M148+'7&amp;8 Sleep'!$Z148</f>
        <v>2.6103373664197498E-2</v>
      </c>
      <c r="E29" s="700">
        <f>'7&amp;8 Sleep'!$M200+'7&amp;8 Sleep'!$Z200</f>
        <v>0</v>
      </c>
      <c r="F29" s="424">
        <f>'7&amp;8 Sleep'!$M253+'7&amp;8 Sleep'!$Z253</f>
        <v>0</v>
      </c>
      <c r="G29" s="658">
        <f>'7&amp;8 Sleep'!$M306+'7&amp;8 Sleep'!$Z306</f>
        <v>0</v>
      </c>
      <c r="H29" s="853">
        <f t="shared" si="13"/>
        <v>0.95016921578173807</v>
      </c>
      <c r="I29" s="658">
        <f>'7&amp;8 Day'!$M96+'7&amp;8 Day'!$Z96</f>
        <v>2.875422772767746E-2</v>
      </c>
      <c r="J29" s="658">
        <f>'7&amp;8 Day'!$M148+'7&amp;8 Day'!$Z148</f>
        <v>2.1076556490584503E-2</v>
      </c>
      <c r="K29" s="658">
        <f>'7&amp;8 Day'!$M200+'7&amp;8 Day'!$Z200</f>
        <v>0</v>
      </c>
      <c r="L29" s="658">
        <f>'7&amp;8 Day'!$M253+'7&amp;8 Day'!$Z253</f>
        <v>0</v>
      </c>
      <c r="M29" s="705">
        <f>'7&amp;8 Day'!$M306+'7&amp;8 Day'!$Z306</f>
        <v>0</v>
      </c>
      <c r="N29" s="423">
        <f t="shared" si="14"/>
        <v>0.8858735653343256</v>
      </c>
      <c r="O29" s="424">
        <f>'7&amp;8 SU'!$M96+'7&amp;8 SU'!$Z96</f>
        <v>6.6989677646863532E-2</v>
      </c>
      <c r="P29" s="424">
        <f>'7&amp;8 SU'!$M148+'7&amp;8 SU'!$Z148</f>
        <v>4.7136757018810899E-2</v>
      </c>
      <c r="Q29" s="700">
        <f>'7&amp;8 SU'!$M200+'7&amp;8 SU'!$Z200</f>
        <v>0</v>
      </c>
      <c r="R29" s="424">
        <f>'7&amp;8 SU'!$M253+'7&amp;8 SU'!$Z253</f>
        <v>0</v>
      </c>
      <c r="S29" s="658">
        <f>'7&amp;8 SU'!$M306+'7&amp;8 SU'!$Z306</f>
        <v>0</v>
      </c>
      <c r="T29" s="423">
        <f>B29*'Market Data'!$E$52+H29*'Market Data'!$O$52+N29*+N29*'Market Data'!$Y$52</f>
        <v>0.93448156423791462</v>
      </c>
      <c r="U29" s="425">
        <f>SUM(C29:G29)*'Market Data'!$E$52+SUM(I29:M29)*'Market Data'!$O$52+SUM(O29:S29)*+N29*'Market Data'!$Y$52</f>
        <v>5.528375887185772E-2</v>
      </c>
      <c r="W29" s="403">
        <v>2027</v>
      </c>
      <c r="X29" s="460">
        <f>IF('Market Penetration'!B29=0,0,1000*B29*'Market Data'!$E$51/('Market Penetration'!B29*'Market Data'!$C$51))</f>
        <v>113243.59214505146</v>
      </c>
      <c r="Y29" s="461">
        <f>IF('Market Penetration'!C29=0,0,1000*C29*'Market Data'!$E$51/('Market Penetration'!C29*'Market Data'!$C$51))</f>
        <v>138573.6150445173</v>
      </c>
      <c r="Z29" s="461">
        <f>IF('Market Penetration'!D29=0,0,1000*D29*'Market Data'!$E$51/('Market Penetration'!D29*'Market Data'!$C$51))</f>
        <v>137392.78685820216</v>
      </c>
      <c r="AA29" s="695">
        <f>IF('Market Penetration'!E29=0,0,1000*E29*'Market Data'!$E$51/('Market Penetration'!E29*'Market Data'!$C$51))</f>
        <v>0</v>
      </c>
      <c r="AB29" s="461">
        <f>IF('Market Penetration'!F29=0,0,1000*F29*'Market Data'!$E$51/('Market Penetration'!F29*'Market Data'!$C$51))</f>
        <v>0</v>
      </c>
      <c r="AC29" s="690">
        <f>IF('Market Penetration'!G29=0,0,1000*G29*'Market Data'!$E$51/('Market Penetration'!G29*'Market Data'!$C$51))</f>
        <v>0</v>
      </c>
      <c r="AD29" s="460">
        <f>IF('Market Penetration'!H29=0,0,1000*H29*'Market Data'!$O$51/('Market Penetration'!H29*'Market Data'!$M$51))</f>
        <v>75544.313279591894</v>
      </c>
      <c r="AE29" s="461">
        <f>IF('Market Penetration'!I29=0,0,1000*I29*'Market Data'!$O$51/('Market Penetration'!I29*'Market Data'!$M$51))</f>
        <v>117632.00573859323</v>
      </c>
      <c r="AF29" s="461">
        <f>IF('Market Penetration'!J29=0,0,1000*J29*'Market Data'!$O$51/('Market Penetration'!J29*'Market Data'!$M$51))</f>
        <v>125834.48674632437</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27063.933854781699</v>
      </c>
      <c r="AK29" s="461">
        <f>IF('Market Penetration'!O29=0,0,1000*O29*'Market Data'!$Y$51/('Market Penetration'!O29*'Market Data'!$W$51))</f>
        <v>25256.49032430027</v>
      </c>
      <c r="AL29" s="461">
        <f>IF('Market Penetration'!P29=0,0,1000*P29*'Market Data'!$Y$51/('Market Penetration'!P29*'Market Data'!$W$51))</f>
        <v>36331.354036033299</v>
      </c>
      <c r="AM29" s="695">
        <f>IF('Market Penetration'!Q29=0,0,1000*Q29*'Market Data'!$Y$51/('Market Penetration'!Q29*'Market Data'!$W$51))</f>
        <v>0</v>
      </c>
      <c r="AN29" s="461">
        <f>IF('Market Penetration'!R29=0,0,1000*R29*'Market Data'!$Y$51/('Market Penetration'!R29*'Market Data'!$W$51))</f>
        <v>0</v>
      </c>
      <c r="AO29" s="690">
        <f>IF('Market Penetration'!S29=0,0,1000*S29*'Market Data'!$Y$51/('Market Penetration'!S29*'Market Data'!$W$51))</f>
        <v>0</v>
      </c>
      <c r="AP29" s="460">
        <f>IF('Market Penetration'!T29=0,0,1000*T29*('Market Data'!$E$51+'Market Data'!$O$51+'Market Data'!$Y$51)/('Market Penetration'!T29*('Market Data'!$C$51+'Market Data'!$M$51+'Market Data'!$W$51)))</f>
        <v>80706.654067693817</v>
      </c>
      <c r="AQ29" s="462">
        <f>IF('Market Penetration'!U29=0,0,1000*U29*('Market Data'!$E$51+'Market Data'!$O$51+'Market Data'!$Y$51)/('Market Penetration'!U29*('Market Data'!$C$51+'Market Data'!$M$51+'Market Data'!$W$51)))</f>
        <v>78810.899294398143</v>
      </c>
    </row>
    <row r="30" spans="1:43" ht="15" x14ac:dyDescent="0.25">
      <c r="A30" s="403">
        <v>2028</v>
      </c>
      <c r="B30" s="423">
        <f t="shared" si="12"/>
        <v>0.77447402842913216</v>
      </c>
      <c r="C30" s="424">
        <f>'7&amp;8 Sleep'!$M97+'7&amp;8 Sleep'!$Z97</f>
        <v>0.13373217112693742</v>
      </c>
      <c r="D30" s="424">
        <f>'7&amp;8 Sleep'!$M149+'7&amp;8 Sleep'!$Z149</f>
        <v>9.1793800443930457E-2</v>
      </c>
      <c r="E30" s="700">
        <f>'7&amp;8 Sleep'!$M201+'7&amp;8 Sleep'!$Z201</f>
        <v>0</v>
      </c>
      <c r="F30" s="424">
        <f>'7&amp;8 Sleep'!$M254+'7&amp;8 Sleep'!$Z254</f>
        <v>0</v>
      </c>
      <c r="G30" s="658">
        <f>'7&amp;8 Sleep'!$M307+'7&amp;8 Sleep'!$Z307</f>
        <v>0</v>
      </c>
      <c r="H30" s="853">
        <f t="shared" si="13"/>
        <v>0.85939368500116453</v>
      </c>
      <c r="I30" s="658">
        <f>'7&amp;8 Day'!$M97+'7&amp;8 Day'!$Z97</f>
        <v>8.0888287451767418E-2</v>
      </c>
      <c r="J30" s="658">
        <f>'7&amp;8 Day'!$M149+'7&amp;8 Day'!$Z149</f>
        <v>5.9718027547068037E-2</v>
      </c>
      <c r="K30" s="658">
        <f>'7&amp;8 Day'!$M201+'7&amp;8 Day'!$Z201</f>
        <v>0</v>
      </c>
      <c r="L30" s="658">
        <f>'7&amp;8 Day'!$M254+'7&amp;8 Day'!$Z254</f>
        <v>0</v>
      </c>
      <c r="M30" s="705">
        <f>'7&amp;8 Day'!$M307+'7&amp;8 Day'!$Z307</f>
        <v>0</v>
      </c>
      <c r="N30" s="423">
        <f t="shared" si="14"/>
        <v>0.80307599301622346</v>
      </c>
      <c r="O30" s="424">
        <f>'7&amp;8 SU'!$M97+'7&amp;8 SU'!$Z97</f>
        <v>8.6376671323228363E-2</v>
      </c>
      <c r="P30" s="424">
        <f>'7&amp;8 SU'!$M149+'7&amp;8 SU'!$Z149</f>
        <v>0.11054729736199469</v>
      </c>
      <c r="Q30" s="700">
        <f>'7&amp;8 SU'!$M201+'7&amp;8 SU'!$Z201</f>
        <v>0</v>
      </c>
      <c r="R30" s="424">
        <f>'7&amp;8 SU'!$M254+'7&amp;8 SU'!$Z254</f>
        <v>3.8298553516951584E-8</v>
      </c>
      <c r="S30" s="658">
        <f>'7&amp;8 SU'!$M307+'7&amp;8 SU'!$Z307</f>
        <v>0</v>
      </c>
      <c r="T30" s="423">
        <f>B30*'Market Data'!$E$52+H30*'Market Data'!$O$52+N30*+N30*'Market Data'!$Y$52</f>
        <v>0.78339823536091591</v>
      </c>
      <c r="U30" s="425">
        <f>SUM(C30:G30)*'Market Data'!$E$52+SUM(I30:M30)*'Market Data'!$O$52+SUM(O30:S30)*+N30*'Market Data'!$Y$52</f>
        <v>0.198941933336091</v>
      </c>
      <c r="W30" s="403">
        <v>2028</v>
      </c>
      <c r="X30" s="460">
        <f>IF('Market Penetration'!B30=0,0,1000*B30*'Market Data'!$E$51/('Market Penetration'!B30*'Market Data'!$C$51))</f>
        <v>111519.76672938296</v>
      </c>
      <c r="Y30" s="461">
        <f>IF('Market Penetration'!C30=0,0,1000*C30*'Market Data'!$E$51/('Market Penetration'!C30*'Market Data'!$C$51))</f>
        <v>121809.2613728702</v>
      </c>
      <c r="Z30" s="461">
        <f>IF('Market Penetration'!D30=0,0,1000*D30*'Market Data'!$E$51/('Market Penetration'!D30*'Market Data'!$C$51))</f>
        <v>129829.06179913373</v>
      </c>
      <c r="AA30" s="695">
        <f>IF('Market Penetration'!E30=0,0,1000*E30*'Market Data'!$E$51/('Market Penetration'!E30*'Market Data'!$C$51))</f>
        <v>0</v>
      </c>
      <c r="AB30" s="461">
        <f>IF('Market Penetration'!F30=0,0,1000*F30*'Market Data'!$E$51/('Market Penetration'!F30*'Market Data'!$C$51))</f>
        <v>0</v>
      </c>
      <c r="AC30" s="690">
        <f>IF('Market Penetration'!G30=0,0,1000*G30*'Market Data'!$E$51/('Market Penetration'!G30*'Market Data'!$C$51))</f>
        <v>0</v>
      </c>
      <c r="AD30" s="460">
        <f>IF('Market Penetration'!H30=0,0,1000*H30*'Market Data'!$O$51/('Market Penetration'!H30*'Market Data'!$M$51))</f>
        <v>73090.896382154824</v>
      </c>
      <c r="AE30" s="461">
        <f>IF('Market Penetration'!I30=0,0,1000*I30*'Market Data'!$O$51/('Market Penetration'!I30*'Market Data'!$M$51))</f>
        <v>110716.77700539274</v>
      </c>
      <c r="AF30" s="461">
        <f>IF('Market Penetration'!J30=0,0,1000*J30*'Market Data'!$O$51/('Market Penetration'!J30*'Market Data'!$M$51))</f>
        <v>119170.60986549578</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25446.27453153878</v>
      </c>
      <c r="AK30" s="461">
        <f>IF('Market Penetration'!O30=0,0,1000*O30*'Market Data'!$Y$51/('Market Penetration'!O30*'Market Data'!$W$51))</f>
        <v>42386.989530422557</v>
      </c>
      <c r="AL30" s="461">
        <f>IF('Market Penetration'!P30=0,0,1000*P30*'Market Data'!$Y$51/('Market Penetration'!P30*'Market Data'!$W$51))</f>
        <v>35834.604813201877</v>
      </c>
      <c r="AM30" s="695">
        <f>IF('Market Penetration'!Q30=0,0,1000*Q30*'Market Data'!$Y$51/('Market Penetration'!Q30*'Market Data'!$W$51))</f>
        <v>0</v>
      </c>
      <c r="AN30" s="461">
        <f>IF('Market Penetration'!R30=0,0,1000*R30*'Market Data'!$Y$51/('Market Penetration'!R30*'Market Data'!$W$51))</f>
        <v>225000</v>
      </c>
      <c r="AO30" s="690">
        <f>IF('Market Penetration'!S30=0,0,1000*S30*'Market Data'!$Y$51/('Market Penetration'!S30*'Market Data'!$W$51))</f>
        <v>0</v>
      </c>
      <c r="AP30" s="460">
        <f>IF('Market Penetration'!T30=0,0,1000*T30*('Market Data'!$E$51+'Market Data'!$O$51+'Market Data'!$Y$51)/('Market Penetration'!T30*('Market Data'!$C$51+'Market Data'!$M$51+'Market Data'!$W$51)))</f>
        <v>75937.040505308556</v>
      </c>
      <c r="AQ30" s="462">
        <f>IF('Market Penetration'!U30=0,0,1000*U30*('Market Data'!$E$51+'Market Data'!$O$51+'Market Data'!$Y$51)/('Market Penetration'!U30*('Market Data'!$C$51+'Market Data'!$M$51+'Market Data'!$W$51)))</f>
        <v>101304.6715546435</v>
      </c>
    </row>
    <row r="31" spans="1:43" ht="15" x14ac:dyDescent="0.25">
      <c r="A31" s="403">
        <v>2029</v>
      </c>
      <c r="B31" s="423">
        <f t="shared" si="12"/>
        <v>0.55880048535394899</v>
      </c>
      <c r="C31" s="424">
        <f>'7&amp;8 Sleep'!$M98+'7&amp;8 Sleep'!$Z98</f>
        <v>0.25753203072815617</v>
      </c>
      <c r="D31" s="424">
        <f>'7&amp;8 Sleep'!$M150+'7&amp;8 Sleep'!$Z150</f>
        <v>0.18366748391789486</v>
      </c>
      <c r="E31" s="700">
        <f>'7&amp;8 Sleep'!$M202+'7&amp;8 Sleep'!$Z202</f>
        <v>0</v>
      </c>
      <c r="F31" s="424">
        <f>'7&amp;8 Sleep'!$M255+'7&amp;8 Sleep'!$Z255</f>
        <v>0</v>
      </c>
      <c r="G31" s="658">
        <f>'7&amp;8 Sleep'!$M308+'7&amp;8 Sleep'!$Z308</f>
        <v>0</v>
      </c>
      <c r="H31" s="853">
        <f t="shared" si="13"/>
        <v>0.7117644717460293</v>
      </c>
      <c r="I31" s="658">
        <f>'7&amp;8 Day'!$M98+'7&amp;8 Day'!$Z98</f>
        <v>0.16351387104699308</v>
      </c>
      <c r="J31" s="658">
        <f>'7&amp;8 Day'!$M150+'7&amp;8 Day'!$Z150</f>
        <v>0.12472165720697762</v>
      </c>
      <c r="K31" s="658">
        <f>'7&amp;8 Day'!$M202+'7&amp;8 Day'!$Z202</f>
        <v>0</v>
      </c>
      <c r="L31" s="658">
        <f>'7&amp;8 Day'!$M255+'7&amp;8 Day'!$Z255</f>
        <v>0</v>
      </c>
      <c r="M31" s="705">
        <f>'7&amp;8 Day'!$M308+'7&amp;8 Day'!$Z308</f>
        <v>0</v>
      </c>
      <c r="N31" s="423">
        <f t="shared" si="14"/>
        <v>0.64381594872298731</v>
      </c>
      <c r="O31" s="424">
        <f>'7&amp;8 SU'!$M98+'7&amp;8 SU'!$Z98</f>
        <v>8.4464622926723479E-2</v>
      </c>
      <c r="P31" s="424">
        <f>'7&amp;8 SU'!$M150+'7&amp;8 SU'!$Z150</f>
        <v>0.27171859523365799</v>
      </c>
      <c r="Q31" s="700">
        <f>'7&amp;8 SU'!$M202+'7&amp;8 SU'!$Z202</f>
        <v>0</v>
      </c>
      <c r="R31" s="424">
        <f>'7&amp;8 SU'!$M255+'7&amp;8 SU'!$Z255</f>
        <v>8.3311663119520826E-7</v>
      </c>
      <c r="S31" s="658">
        <f>'7&amp;8 SU'!$M308+'7&amp;8 SU'!$Z308</f>
        <v>0</v>
      </c>
      <c r="T31" s="423">
        <f>B31*'Market Data'!$E$52+H31*'Market Data'!$O$52+N31*+N31*'Market Data'!$Y$52</f>
        <v>0.58286057317537632</v>
      </c>
      <c r="U31" s="425">
        <f>SUM(C31:G31)*'Market Data'!$E$52+SUM(I31:M31)*'Market Data'!$O$52+SUM(O31:S31)*+N31*'Market Data'!$Y$52</f>
        <v>0.38519740840486411</v>
      </c>
      <c r="W31" s="403">
        <v>2029</v>
      </c>
      <c r="X31" s="460">
        <f>IF('Market Penetration'!B31=0,0,1000*B31*'Market Data'!$E$51/('Market Penetration'!B31*'Market Data'!$C$51))</f>
        <v>107986.82403189724</v>
      </c>
      <c r="Y31" s="461">
        <f>IF('Market Penetration'!C31=0,0,1000*C31*'Market Data'!$E$51/('Market Penetration'!C31*'Market Data'!$C$51))</f>
        <v>120289.45733679635</v>
      </c>
      <c r="Z31" s="461">
        <f>IF('Market Penetration'!D31=0,0,1000*D31*'Market Data'!$E$51/('Market Penetration'!D31*'Market Data'!$C$51))</f>
        <v>128080.88949373727</v>
      </c>
      <c r="AA31" s="695">
        <f>IF('Market Penetration'!E31=0,0,1000*E31*'Market Data'!$E$51/('Market Penetration'!E31*'Market Data'!$C$51))</f>
        <v>0</v>
      </c>
      <c r="AB31" s="461">
        <f>IF('Market Penetration'!F31=0,0,1000*F31*'Market Data'!$E$51/('Market Penetration'!F31*'Market Data'!$C$51))</f>
        <v>0</v>
      </c>
      <c r="AC31" s="690">
        <f>IF('Market Penetration'!G31=0,0,1000*G31*'Market Data'!$E$51/('Market Penetration'!G31*'Market Data'!$C$51))</f>
        <v>0</v>
      </c>
      <c r="AD31" s="460">
        <f>IF('Market Penetration'!H31=0,0,1000*H31*'Market Data'!$O$51/('Market Penetration'!H31*'Market Data'!$M$51))</f>
        <v>68519.685579103403</v>
      </c>
      <c r="AE31" s="461">
        <f>IF('Market Penetration'!I31=0,0,1000*I31*'Market Data'!$O$51/('Market Penetration'!I31*'Market Data'!$M$51))</f>
        <v>107444.71467280078</v>
      </c>
      <c r="AF31" s="461">
        <f>IF('Market Penetration'!J31=0,0,1000*J31*'Market Data'!$O$51/('Market Penetration'!J31*'Market Data'!$M$51))</f>
        <v>115483.21814343214</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23347.413802289404</v>
      </c>
      <c r="AK31" s="461">
        <f>IF('Market Penetration'!O31=0,0,1000*O31*'Market Data'!$Y$51/('Market Penetration'!O31*'Market Data'!$W$51))</f>
        <v>59366.883244217133</v>
      </c>
      <c r="AL31" s="461">
        <f>IF('Market Penetration'!P31=0,0,1000*P31*'Market Data'!$Y$51/('Market Penetration'!P31*'Market Data'!$W$51))</f>
        <v>35360.783709657539</v>
      </c>
      <c r="AM31" s="695">
        <f>IF('Market Penetration'!Q31=0,0,1000*Q31*'Market Data'!$Y$51/('Market Penetration'!Q31*'Market Data'!$W$51))</f>
        <v>0</v>
      </c>
      <c r="AN31" s="461">
        <f>IF('Market Penetration'!R31=0,0,1000*R31*'Market Data'!$Y$51/('Market Penetration'!R31*'Market Data'!$W$51))</f>
        <v>219029.04623716115</v>
      </c>
      <c r="AO31" s="690">
        <f>IF('Market Penetration'!S31=0,0,1000*S31*'Market Data'!$Y$51/('Market Penetration'!S31*'Market Data'!$W$51))</f>
        <v>0</v>
      </c>
      <c r="AP31" s="460">
        <f>IF('Market Penetration'!T31=0,0,1000*T31*('Market Data'!$E$51+'Market Data'!$O$51+'Market Data'!$Y$51)/('Market Penetration'!T31*('Market Data'!$C$51+'Market Data'!$M$51+'Market Data'!$W$51)))</f>
        <v>69021.970097668542</v>
      </c>
      <c r="AQ31" s="462">
        <f>IF('Market Penetration'!U31=0,0,1000*U31*('Market Data'!$E$51+'Market Data'!$O$51+'Market Data'!$Y$51)/('Market Penetration'!U31*('Market Data'!$C$51+'Market Data'!$M$51+'Market Data'!$W$51)))</f>
        <v>100425.58504757665</v>
      </c>
    </row>
    <row r="32" spans="1:43" ht="15" x14ac:dyDescent="0.25">
      <c r="A32" s="402">
        <v>2030</v>
      </c>
      <c r="B32" s="426">
        <f t="shared" si="12"/>
        <v>0.31926857283418664</v>
      </c>
      <c r="C32" s="427">
        <f>'7&amp;8 Sleep'!$M99+'7&amp;8 Sleep'!$Z99</f>
        <v>0.3886081029999694</v>
      </c>
      <c r="D32" s="427">
        <f>'7&amp;8 Sleep'!$M151+'7&amp;8 Sleep'!$Z151</f>
        <v>0.29212332416584391</v>
      </c>
      <c r="E32" s="701">
        <f>'7&amp;8 Sleep'!$M203+'7&amp;8 Sleep'!$Z203</f>
        <v>0</v>
      </c>
      <c r="F32" s="427">
        <f>'7&amp;8 Sleep'!$M256+'7&amp;8 Sleep'!$Z256</f>
        <v>0</v>
      </c>
      <c r="G32" s="659">
        <f>'7&amp;8 Sleep'!$M309+'7&amp;8 Sleep'!$Z309</f>
        <v>0</v>
      </c>
      <c r="H32" s="854">
        <f t="shared" si="13"/>
        <v>0.5238071361830734</v>
      </c>
      <c r="I32" s="659">
        <f>'7&amp;8 Day'!$M99+'7&amp;8 Day'!$Z99</f>
        <v>0.26795370157813092</v>
      </c>
      <c r="J32" s="659">
        <f>'7&amp;8 Day'!$M151+'7&amp;8 Day'!$Z151</f>
        <v>0.20823916223879566</v>
      </c>
      <c r="K32" s="659">
        <f>'7&amp;8 Day'!$M203+'7&amp;8 Day'!$Z203</f>
        <v>0</v>
      </c>
      <c r="L32" s="659">
        <f>'7&amp;8 Day'!$M256+'7&amp;8 Day'!$Z256</f>
        <v>0</v>
      </c>
      <c r="M32" s="706">
        <f>'7&amp;8 Day'!$M309+'7&amp;8 Day'!$Z309</f>
        <v>0</v>
      </c>
      <c r="N32" s="426">
        <f t="shared" si="14"/>
        <v>0.48794463066887173</v>
      </c>
      <c r="O32" s="427">
        <f>'7&amp;8 SU'!$M99+'7&amp;8 SU'!$Z99</f>
        <v>5.0592029964209369E-2</v>
      </c>
      <c r="P32" s="427">
        <f>'7&amp;8 SU'!$M151+'7&amp;8 SU'!$Z151</f>
        <v>0.46144877574184251</v>
      </c>
      <c r="Q32" s="701">
        <f>'7&amp;8 SU'!$M203+'7&amp;8 SU'!$Z203</f>
        <v>0</v>
      </c>
      <c r="R32" s="427">
        <f>'7&amp;8 SU'!$M256+'7&amp;8 SU'!$Z256</f>
        <v>1.4563625076301596E-5</v>
      </c>
      <c r="S32" s="659">
        <f>'7&amp;8 SU'!$M309+'7&amp;8 SU'!$Z309</f>
        <v>0</v>
      </c>
      <c r="T32" s="426">
        <f>B32*'Market Data'!$E$52+H32*'Market Data'!$O$52+N32*+N32*'Market Data'!$Y$52</f>
        <v>0.36146491708820588</v>
      </c>
      <c r="U32" s="428">
        <f>SUM(C32:G32)*'Market Data'!$E$52+SUM(I32:M32)*'Market Data'!$O$52+SUM(O32:S32)*+N32*'Market Data'!$Y$52</f>
        <v>0.59261477294712572</v>
      </c>
      <c r="W32" s="402">
        <v>2030</v>
      </c>
      <c r="X32" s="463">
        <f>IF('Market Penetration'!B32=0,0,1000*B32*'Market Data'!$E$51/('Market Penetration'!B32*'Market Data'!$C$51))</f>
        <v>101311.23062052895</v>
      </c>
      <c r="Y32" s="464">
        <f>IF('Market Penetration'!C32=0,0,1000*C32*'Market Data'!$E$51/('Market Penetration'!C32*'Market Data'!$C$51))</f>
        <v>118476.01147467815</v>
      </c>
      <c r="Z32" s="464">
        <f>IF('Market Penetration'!D32=0,0,1000*D32*'Market Data'!$E$51/('Market Penetration'!D32*'Market Data'!$C$51))</f>
        <v>126011.87779527201</v>
      </c>
      <c r="AA32" s="696">
        <f>IF('Market Penetration'!E32=0,0,1000*E32*'Market Data'!$E$51/('Market Penetration'!E32*'Market Data'!$C$51))</f>
        <v>0</v>
      </c>
      <c r="AB32" s="464">
        <f>IF('Market Penetration'!F32=0,0,1000*F32*'Market Data'!$E$51/('Market Penetration'!F32*'Market Data'!$C$51))</f>
        <v>0</v>
      </c>
      <c r="AC32" s="691">
        <f>IF('Market Penetration'!G32=0,0,1000*G32*'Market Data'!$E$51/('Market Penetration'!G32*'Market Data'!$C$51))</f>
        <v>0</v>
      </c>
      <c r="AD32" s="463">
        <f>IF('Market Penetration'!H32=0,0,1000*H32*'Market Data'!$O$51/('Market Penetration'!H32*'Market Data'!$M$51))</f>
        <v>61483.582062782531</v>
      </c>
      <c r="AE32" s="464">
        <f>IF('Market Penetration'!I32=0,0,1000*I32*'Market Data'!$O$51/('Market Penetration'!I32*'Market Data'!$M$51))</f>
        <v>103311.01197672417</v>
      </c>
      <c r="AF32" s="464">
        <f>IF('Market Penetration'!J32=0,0,1000*J32*'Market Data'!$O$51/('Market Penetration'!J32*'Market Data'!$M$51))</f>
        <v>110974.89666975659</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20538.352954886916</v>
      </c>
      <c r="AK32" s="464">
        <f>IF('Market Penetration'!O32=0,0,1000*O32*'Market Data'!$Y$51/('Market Penetration'!O32*'Market Data'!$W$51))</f>
        <v>91653.985707980668</v>
      </c>
      <c r="AL32" s="464">
        <f>IF('Market Penetration'!P32=0,0,1000*P32*'Market Data'!$Y$51/('Market Penetration'!P32*'Market Data'!$W$51))</f>
        <v>37295.974415697528</v>
      </c>
      <c r="AM32" s="696">
        <f>IF('Market Penetration'!Q32=0,0,1000*Q32*'Market Data'!$Y$51/('Market Penetration'!Q32*'Market Data'!$W$51))</f>
        <v>0</v>
      </c>
      <c r="AN32" s="464">
        <f>IF('Market Penetration'!R32=0,0,1000*R32*'Market Data'!$Y$51/('Market Penetration'!R32*'Market Data'!$W$51))</f>
        <v>190973.13331796002</v>
      </c>
      <c r="AO32" s="691">
        <f>IF('Market Penetration'!S32=0,0,1000*S32*'Market Data'!$Y$51/('Market Penetration'!S32*'Market Data'!$W$51))</f>
        <v>0</v>
      </c>
      <c r="AP32" s="463">
        <f>IF('Market Penetration'!T32=0,0,1000*T32*('Market Data'!$E$51+'Market Data'!$O$51+'Market Data'!$Y$51)/('Market Penetration'!T32*('Market Data'!$C$51+'Market Data'!$M$51+'Market Data'!$W$51)))</f>
        <v>57395.314747345124</v>
      </c>
      <c r="AQ32" s="465">
        <f>IF('Market Penetration'!U32=0,0,1000*U32*('Market Data'!$E$51+'Market Data'!$O$51+'Market Data'!$Y$51)/('Market Penetration'!U32*('Market Data'!$C$51+'Market Data'!$M$51+'Market Data'!$W$51)))</f>
        <v>99059.642026472822</v>
      </c>
    </row>
    <row r="33" spans="1:43" ht="15" x14ac:dyDescent="0.25">
      <c r="A33" s="429">
        <v>2031</v>
      </c>
      <c r="B33" s="430">
        <f t="shared" si="12"/>
        <v>0.16295740902737066</v>
      </c>
      <c r="C33" s="431">
        <f>'7&amp;8 Sleep'!$M100+'7&amp;8 Sleep'!$Z100</f>
        <v>0.46921754894663203</v>
      </c>
      <c r="D33" s="431">
        <f>'7&amp;8 Sleep'!$M152+'7&amp;8 Sleep'!$Z152</f>
        <v>0.36782504202599731</v>
      </c>
      <c r="E33" s="702">
        <f>'7&amp;8 Sleep'!$M204+'7&amp;8 Sleep'!$Z204</f>
        <v>0</v>
      </c>
      <c r="F33" s="431">
        <f>'7&amp;8 Sleep'!$M257+'7&amp;8 Sleep'!$Z257</f>
        <v>0</v>
      </c>
      <c r="G33" s="660">
        <f>'7&amp;8 Sleep'!$M310+'7&amp;8 Sleep'!$Z310</f>
        <v>0</v>
      </c>
      <c r="H33" s="855">
        <f t="shared" si="13"/>
        <v>0.37882977862309009</v>
      </c>
      <c r="I33" s="660">
        <f>'7&amp;8 Day'!$M100+'7&amp;8 Day'!$Z100</f>
        <v>0.34337242485940267</v>
      </c>
      <c r="J33" s="660">
        <f>'7&amp;8 Day'!$M152+'7&amp;8 Day'!$Z152</f>
        <v>0.27779779651750725</v>
      </c>
      <c r="K33" s="660">
        <f>'7&amp;8 Day'!$M204+'7&amp;8 Day'!$Z204</f>
        <v>0</v>
      </c>
      <c r="L33" s="660">
        <f>'7&amp;8 Day'!$M257+'7&amp;8 Day'!$Z257</f>
        <v>0</v>
      </c>
      <c r="M33" s="707">
        <f>'7&amp;8 Day'!$M310+'7&amp;8 Day'!$Z310</f>
        <v>0</v>
      </c>
      <c r="N33" s="430">
        <f t="shared" si="14"/>
        <v>0.39302438412240737</v>
      </c>
      <c r="O33" s="431">
        <f>'7&amp;8 SU'!$M100+'7&amp;8 SU'!$Z100</f>
        <v>7.1927411800491916E-3</v>
      </c>
      <c r="P33" s="431">
        <f>'7&amp;8 SU'!$M152+'7&amp;8 SU'!$Z152</f>
        <v>0.59969796998326841</v>
      </c>
      <c r="Q33" s="702">
        <f>'7&amp;8 SU'!$M204+'7&amp;8 SU'!$Z204</f>
        <v>0</v>
      </c>
      <c r="R33" s="431">
        <f>'7&amp;8 SU'!$M257+'7&amp;8 SU'!$Z257</f>
        <v>8.4904714275028337E-5</v>
      </c>
      <c r="S33" s="660">
        <f>'7&amp;8 SU'!$M310+'7&amp;8 SU'!$Z310</f>
        <v>0</v>
      </c>
      <c r="T33" s="433">
        <f>B33*'Market Data'!$E$52+H33*'Market Data'!$O$52+N33*+N33*'Market Data'!$Y$52</f>
        <v>0.21441398097604281</v>
      </c>
      <c r="U33" s="434">
        <f>SUM(C33:G33)*'Market Data'!$E$52+SUM(I33:M33)*'Market Data'!$O$52+SUM(O33:S33)*+N33*'Market Data'!$Y$52</f>
        <v>0.73115341252965771</v>
      </c>
      <c r="W33" s="429">
        <v>2031</v>
      </c>
      <c r="X33" s="466">
        <f>IF('Market Penetration'!B33=0,0,1000*B33*'Market Data'!$E$51/('Market Penetration'!B33*'Market Data'!$C$51))</f>
        <v>89642.886469506077</v>
      </c>
      <c r="Y33" s="467">
        <f>IF('Market Penetration'!C33=0,0,1000*C33*'Market Data'!$E$51/('Market Penetration'!C33*'Market Data'!$C$51))</f>
        <v>117738.87668817262</v>
      </c>
      <c r="Z33" s="467">
        <f>IF('Market Penetration'!D33=0,0,1000*D33*'Market Data'!$E$51/('Market Penetration'!D33*'Market Data'!$C$51))</f>
        <v>124832.35912470637</v>
      </c>
      <c r="AA33" s="697">
        <f>IF('Market Penetration'!E33=0,0,1000*E33*'Market Data'!$E$51/('Market Penetration'!E33*'Market Data'!$C$51))</f>
        <v>0</v>
      </c>
      <c r="AB33" s="467">
        <f>IF('Market Penetration'!F33=0,0,1000*F33*'Market Data'!$E$51/('Market Penetration'!F33*'Market Data'!$C$51))</f>
        <v>0</v>
      </c>
      <c r="AC33" s="692">
        <f>IF('Market Penetration'!G33=0,0,1000*G33*'Market Data'!$E$51/('Market Penetration'!G33*'Market Data'!$C$51))</f>
        <v>0</v>
      </c>
      <c r="AD33" s="466">
        <f>IF('Market Penetration'!H33=0,0,1000*H33*'Market Data'!$O$51/('Market Penetration'!H33*'Market Data'!$M$51))</f>
        <v>54207.761033938034</v>
      </c>
      <c r="AE33" s="467">
        <f>IF('Market Penetration'!I33=0,0,1000*I33*'Market Data'!$O$51/('Market Penetration'!I33*'Market Data'!$M$51))</f>
        <v>100361.42557153502</v>
      </c>
      <c r="AF33" s="467">
        <f>IF('Market Penetration'!J33=0,0,1000*J33*'Market Data'!$O$51/('Market Penetration'!J33*'Market Data'!$M$51))</f>
        <v>107684.42421794398</v>
      </c>
      <c r="AG33" s="467">
        <f>IF('Market Penetration'!K33=0,0,1000*K33*'Market Data'!$O$51/('Market Penetration'!K33*'Market Data'!$M$51))</f>
        <v>0</v>
      </c>
      <c r="AH33" s="467">
        <f>IF('Market Penetration'!L33=0,0,1000*L33*'Market Data'!$O$51/('Market Penetration'!L33*'Market Data'!$M$51))</f>
        <v>0</v>
      </c>
      <c r="AI33" s="860">
        <f>IF('Market Penetration'!M33=0,0,1000*M33*'Market Data'!$O$51/('Market Penetration'!M33*'Market Data'!$M$51))</f>
        <v>0</v>
      </c>
      <c r="AJ33" s="466">
        <f>IF('Market Penetration'!N33=0,0,1000*N33*'Market Data'!$Y$51/('Market Penetration'!N33*'Market Data'!$W$51))</f>
        <v>18251.88479911019</v>
      </c>
      <c r="AK33" s="467">
        <f>IF('Market Penetration'!O33=0,0,1000*O33*'Market Data'!$Y$51/('Market Penetration'!O33*'Market Data'!$W$51))</f>
        <v>150517.29600131122</v>
      </c>
      <c r="AL33" s="467">
        <f>IF('Market Penetration'!P33=0,0,1000*P33*'Market Data'!$Y$51/('Market Penetration'!P33*'Market Data'!$W$51))</f>
        <v>39713.058326226324</v>
      </c>
      <c r="AM33" s="697">
        <f>IF('Market Penetration'!Q33=0,0,1000*Q33*'Market Data'!$Y$51/('Market Penetration'!Q33*'Market Data'!$W$51))</f>
        <v>0</v>
      </c>
      <c r="AN33" s="467">
        <f>IF('Market Penetration'!R33=0,0,1000*R33*'Market Data'!$Y$51/('Market Penetration'!R33*'Market Data'!$W$51))</f>
        <v>173176.35022149235</v>
      </c>
      <c r="AO33" s="692">
        <f>IF('Market Penetration'!S33=0,0,1000*S33*'Market Data'!$Y$51/('Market Penetration'!S33*'Market Data'!$W$51))</f>
        <v>0</v>
      </c>
      <c r="AP33" s="468">
        <f>IF('Market Penetration'!T33=0,0,1000*T33*('Market Data'!$E$51+'Market Data'!$O$51+'Market Data'!$Y$51)/('Market Penetration'!T33*('Market Data'!$C$51+'Market Data'!$M$51+'Market Data'!$W$51)))</f>
        <v>44331.170333559501</v>
      </c>
      <c r="AQ33" s="469">
        <f>IF('Market Penetration'!U33=0,0,1000*U33*('Market Data'!$E$51+'Market Data'!$O$51+'Market Data'!$Y$51)/('Market Penetration'!U33*('Market Data'!$C$51+'Market Data'!$M$51+'Market Data'!$W$51)))</f>
        <v>98226.116816642359</v>
      </c>
    </row>
    <row r="34" spans="1:43" ht="15" x14ac:dyDescent="0.25">
      <c r="A34" s="403">
        <v>2032</v>
      </c>
      <c r="B34" s="423">
        <f t="shared" si="12"/>
        <v>8.490061079158906E-2</v>
      </c>
      <c r="C34" s="424">
        <f>'7&amp;8 Sleep'!$M101+'7&amp;8 Sleep'!$Z101</f>
        <v>0.50781829961263558</v>
      </c>
      <c r="D34" s="424">
        <f>'7&amp;8 Sleep'!$M153+'7&amp;8 Sleep'!$Z153</f>
        <v>0.40728108959577536</v>
      </c>
      <c r="E34" s="700">
        <f>'7&amp;8 Sleep'!$M205+'7&amp;8 Sleep'!$Z205</f>
        <v>0</v>
      </c>
      <c r="F34" s="424">
        <f>'7&amp;8 Sleep'!$M258+'7&amp;8 Sleep'!$Z258</f>
        <v>0</v>
      </c>
      <c r="G34" s="658">
        <f>'7&amp;8 Sleep'!$M311+'7&amp;8 Sleep'!$Z311</f>
        <v>0</v>
      </c>
      <c r="H34" s="853">
        <f t="shared" si="13"/>
        <v>0.29878343487254466</v>
      </c>
      <c r="I34" s="658">
        <f>'7&amp;8 Day'!$M101+'7&amp;8 Day'!$Z101</f>
        <v>0.38573668714086523</v>
      </c>
      <c r="J34" s="658">
        <f>'7&amp;8 Day'!$M153+'7&amp;8 Day'!$Z153</f>
        <v>0.31547987798659005</v>
      </c>
      <c r="K34" s="658">
        <f>'7&amp;8 Day'!$M205+'7&amp;8 Day'!$Z205</f>
        <v>0</v>
      </c>
      <c r="L34" s="658">
        <f>'7&amp;8 Day'!$M258+'7&amp;8 Day'!$Z258</f>
        <v>0</v>
      </c>
      <c r="M34" s="705">
        <f>'7&amp;8 Day'!$M311+'7&amp;8 Day'!$Z311</f>
        <v>0</v>
      </c>
      <c r="N34" s="423">
        <f t="shared" si="14"/>
        <v>0.34192126113979726</v>
      </c>
      <c r="O34" s="424">
        <f>'7&amp;8 SU'!$M101+'7&amp;8 SU'!$Z101</f>
        <v>1.1669405583147129E-2</v>
      </c>
      <c r="P34" s="424">
        <f>'7&amp;8 SU'!$M153+'7&amp;8 SU'!$Z153</f>
        <v>0.64611077674622452</v>
      </c>
      <c r="Q34" s="700">
        <f>'7&amp;8 SU'!$M205+'7&amp;8 SU'!$Z205</f>
        <v>0</v>
      </c>
      <c r="R34" s="424">
        <f>'7&amp;8 SU'!$M258+'7&amp;8 SU'!$Z258</f>
        <v>2.9855653083108537E-4</v>
      </c>
      <c r="S34" s="658">
        <f>'7&amp;8 SU'!$M311+'7&amp;8 SU'!$Z311</f>
        <v>0</v>
      </c>
      <c r="T34" s="423">
        <f>B34*'Market Data'!$E$52+H34*'Market Data'!$O$52+N34*+N34*'Market Data'!$Y$52</f>
        <v>0.13950779304621894</v>
      </c>
      <c r="U34" s="425">
        <f>SUM(C34:G34)*'Market Data'!$E$52+SUM(I34:M34)*'Market Data'!$O$52+SUM(O34:S34)*+N34*'Market Data'!$Y$52</f>
        <v>0.80147675378297978</v>
      </c>
      <c r="W34" s="403">
        <v>2032</v>
      </c>
      <c r="X34" s="460">
        <f>IF('Market Penetration'!B34=0,0,1000*B34*'Market Data'!$E$51/('Market Penetration'!B34*'Market Data'!$C$51))</f>
        <v>74085.945605906367</v>
      </c>
      <c r="Y34" s="461">
        <f>IF('Market Penetration'!C34=0,0,1000*C34*'Market Data'!$E$51/('Market Penetration'!C34*'Market Data'!$C$51))</f>
        <v>117394.06055294762</v>
      </c>
      <c r="Z34" s="461">
        <f>IF('Market Penetration'!D34=0,0,1000*D34*'Market Data'!$E$51/('Market Penetration'!D34*'Market Data'!$C$51))</f>
        <v>124250.26265673785</v>
      </c>
      <c r="AA34" s="695">
        <f>IF('Market Penetration'!E34=0,0,1000*E34*'Market Data'!$E$51/('Market Penetration'!E34*'Market Data'!$C$51))</f>
        <v>0</v>
      </c>
      <c r="AB34" s="461">
        <f>IF('Market Penetration'!F34=0,0,1000*F34*'Market Data'!$E$51/('Market Penetration'!F34*'Market Data'!$C$51))</f>
        <v>0</v>
      </c>
      <c r="AC34" s="690">
        <f>IF('Market Penetration'!G34=0,0,1000*G34*'Market Data'!$E$51/('Market Penetration'!G34*'Market Data'!$C$51))</f>
        <v>0</v>
      </c>
      <c r="AD34" s="460">
        <f>IF('Market Penetration'!H34=0,0,1000*H34*'Market Data'!$O$51/('Market Penetration'!H34*'Market Data'!$M$51))</f>
        <v>49026.649935024863</v>
      </c>
      <c r="AE34" s="461">
        <f>IF('Market Penetration'!I34=0,0,1000*I34*'Market Data'!$O$51/('Market Penetration'!I34*'Market Data'!$M$51))</f>
        <v>98569.694597028574</v>
      </c>
      <c r="AF34" s="461">
        <f>IF('Market Penetration'!J34=0,0,1000*J34*'Market Data'!$O$51/('Market Penetration'!J34*'Market Data'!$M$51))</f>
        <v>105797.18067513166</v>
      </c>
      <c r="AG34" s="461">
        <f>IF('Market Penetration'!K34=0,0,1000*K34*'Market Data'!$O$51/('Market Penetration'!K34*'Market Data'!$M$51))</f>
        <v>0</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16872.404899160578</v>
      </c>
      <c r="AK34" s="461">
        <f>IF('Market Penetration'!O34=0,0,1000*O34*'Market Data'!$Y$51/('Market Penetration'!O34*'Market Data'!$W$51))</f>
        <v>144727.67851173121</v>
      </c>
      <c r="AL34" s="461">
        <f>IF('Market Penetration'!P34=0,0,1000*P34*'Market Data'!$Y$51/('Market Penetration'!P34*'Market Data'!$W$51))</f>
        <v>39554.15316678735</v>
      </c>
      <c r="AM34" s="695">
        <f>IF('Market Penetration'!Q34=0,0,1000*Q34*'Market Data'!$Y$51/('Market Penetration'!Q34*'Market Data'!$W$51))</f>
        <v>0</v>
      </c>
      <c r="AN34" s="461">
        <f>IF('Market Penetration'!R34=0,0,1000*R34*'Market Data'!$Y$51/('Market Penetration'!R34*'Market Data'!$W$51))</f>
        <v>163714.24900133954</v>
      </c>
      <c r="AO34" s="690">
        <f>IF('Market Penetration'!S34=0,0,1000*S34*'Market Data'!$Y$51/('Market Penetration'!S34*'Market Data'!$W$51))</f>
        <v>0</v>
      </c>
      <c r="AP34" s="460">
        <f>IF('Market Penetration'!T34=0,0,1000*T34*('Market Data'!$E$51+'Market Data'!$O$51+'Market Data'!$Y$51)/('Market Penetration'!T34*('Market Data'!$C$51+'Market Data'!$M$51+'Market Data'!$W$51)))</f>
        <v>34382.591382314153</v>
      </c>
      <c r="AQ34" s="462">
        <f>IF('Market Penetration'!U34=0,0,1000*U34*('Market Data'!$E$51+'Market Data'!$O$51+'Market Data'!$Y$51)/('Market Penetration'!U34*('Market Data'!$C$51+'Market Data'!$M$51+'Market Data'!$W$51)))</f>
        <v>97471.196648226643</v>
      </c>
    </row>
    <row r="35" spans="1:43" ht="15" x14ac:dyDescent="0.25">
      <c r="A35" s="403">
        <v>2033</v>
      </c>
      <c r="B35" s="423">
        <f t="shared" si="12"/>
        <v>5.3180056119063956E-2</v>
      </c>
      <c r="C35" s="424">
        <f>'7&amp;8 Sleep'!$M102+'7&amp;8 Sleep'!$Z102</f>
        <v>0.51888133006589743</v>
      </c>
      <c r="D35" s="424">
        <f>'7&amp;8 Sleep'!$M154+'7&amp;8 Sleep'!$Z154</f>
        <v>0.42793861381503862</v>
      </c>
      <c r="E35" s="700">
        <f>'7&amp;8 Sleep'!$M206+'7&amp;8 Sleep'!$Z206</f>
        <v>0</v>
      </c>
      <c r="F35" s="424">
        <f>'7&amp;8 Sleep'!$M259+'7&amp;8 Sleep'!$Z259</f>
        <v>0</v>
      </c>
      <c r="G35" s="658">
        <f>'7&amp;8 Sleep'!$M312+'7&amp;8 Sleep'!$Z312</f>
        <v>0</v>
      </c>
      <c r="H35" s="853">
        <f t="shared" si="13"/>
        <v>0.26050381408350587</v>
      </c>
      <c r="I35" s="658">
        <f>'7&amp;8 Day'!$M102+'7&amp;8 Day'!$Z102</f>
        <v>0.40502006745994856</v>
      </c>
      <c r="J35" s="658">
        <f>'7&amp;8 Day'!$M154+'7&amp;8 Day'!$Z154</f>
        <v>0.33447611845654551</v>
      </c>
      <c r="K35" s="658">
        <f>'7&amp;8 Day'!$M206+'7&amp;8 Day'!$Z206</f>
        <v>0</v>
      </c>
      <c r="L35" s="658">
        <f>'7&amp;8 Day'!$M259+'7&amp;8 Day'!$Z259</f>
        <v>0</v>
      </c>
      <c r="M35" s="705">
        <f>'7&amp;8 Day'!$M312+'7&amp;8 Day'!$Z312</f>
        <v>0</v>
      </c>
      <c r="N35" s="423">
        <f t="shared" si="14"/>
        <v>0.32035679083257362</v>
      </c>
      <c r="O35" s="424">
        <f>'7&amp;8 SU'!$M102+'7&amp;8 SU'!$Z102</f>
        <v>1.1369779587846972E-2</v>
      </c>
      <c r="P35" s="424">
        <f>'7&amp;8 SU'!$M154+'7&amp;8 SU'!$Z154</f>
        <v>0.66745253421483142</v>
      </c>
      <c r="Q35" s="700">
        <f>'7&amp;8 SU'!$M206+'7&amp;8 SU'!$Z206</f>
        <v>0</v>
      </c>
      <c r="R35" s="424">
        <f>'7&amp;8 SU'!$M259+'7&amp;8 SU'!$Z259</f>
        <v>8.208953647478969E-4</v>
      </c>
      <c r="S35" s="658">
        <f>'7&amp;8 SU'!$M312+'7&amp;8 SU'!$Z312</f>
        <v>0</v>
      </c>
      <c r="T35" s="423">
        <f>B35*'Market Data'!$E$52+H35*'Market Data'!$O$52+N35*+N35*'Market Data'!$Y$52</f>
        <v>0.10776454140915734</v>
      </c>
      <c r="U35" s="425">
        <f>SUM(C35:G35)*'Market Data'!$E$52+SUM(I35:M35)*'Market Data'!$O$52+SUM(O35:S35)*+N35*'Market Data'!$Y$52</f>
        <v>0.8312861380688894</v>
      </c>
      <c r="W35" s="403">
        <v>2033</v>
      </c>
      <c r="X35" s="460">
        <f>IF('Market Penetration'!B35=0,0,1000*B35*'Market Data'!$E$51/('Market Penetration'!B35*'Market Data'!$C$51))</f>
        <v>61659.004201203548</v>
      </c>
      <c r="Y35" s="461">
        <f>IF('Market Penetration'!C35=0,0,1000*C35*'Market Data'!$E$51/('Market Penetration'!C35*'Market Data'!$C$51))</f>
        <v>117077.9012980486</v>
      </c>
      <c r="Z35" s="461">
        <f>IF('Market Penetration'!D35=0,0,1000*D35*'Market Data'!$E$51/('Market Penetration'!D35*'Market Data'!$C$51))</f>
        <v>123852.67007793652</v>
      </c>
      <c r="AA35" s="695">
        <f>IF('Market Penetration'!E35=0,0,1000*E35*'Market Data'!$E$51/('Market Penetration'!E35*'Market Data'!$C$51))</f>
        <v>0</v>
      </c>
      <c r="AB35" s="461">
        <f>IF('Market Penetration'!F35=0,0,1000*F35*'Market Data'!$E$51/('Market Penetration'!F35*'Market Data'!$C$51))</f>
        <v>0</v>
      </c>
      <c r="AC35" s="690">
        <f>IF('Market Penetration'!G35=0,0,1000*G35*'Market Data'!$E$51/('Market Penetration'!G35*'Market Data'!$C$51))</f>
        <v>0</v>
      </c>
      <c r="AD35" s="460">
        <f>IF('Market Penetration'!H35=0,0,1000*H35*'Market Data'!$O$51/('Market Penetration'!H35*'Market Data'!$M$51))</f>
        <v>46340.696639412556</v>
      </c>
      <c r="AE35" s="461">
        <f>IF('Market Penetration'!I35=0,0,1000*I35*'Market Data'!$O$51/('Market Penetration'!I35*'Market Data'!$M$51))</f>
        <v>97201.436637853592</v>
      </c>
      <c r="AF35" s="461">
        <f>IF('Market Penetration'!J35=0,0,1000*J35*'Market Data'!$O$51/('Market Penetration'!J35*'Market Data'!$M$51))</f>
        <v>104482.17806084047</v>
      </c>
      <c r="AG35" s="461">
        <f>IF('Market Penetration'!K35=0,0,1000*K35*'Market Data'!$O$51/('Market Penetration'!K35*'Market Data'!$M$51))</f>
        <v>0</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16303.536270161854</v>
      </c>
      <c r="AK35" s="461">
        <f>IF('Market Penetration'!O35=0,0,1000*O35*'Market Data'!$Y$51/('Market Penetration'!O35*'Market Data'!$W$51))</f>
        <v>145615.38481375904</v>
      </c>
      <c r="AL35" s="461">
        <f>IF('Market Penetration'!P35=0,0,1000*P35*'Market Data'!$Y$51/('Market Penetration'!P35*'Market Data'!$W$51))</f>
        <v>39378.697884535737</v>
      </c>
      <c r="AM35" s="695">
        <f>IF('Market Penetration'!Q35=0,0,1000*Q35*'Market Data'!$Y$51/('Market Penetration'!Q35*'Market Data'!$W$51))</f>
        <v>0</v>
      </c>
      <c r="AN35" s="461">
        <f>IF('Market Penetration'!R35=0,0,1000*R35*'Market Data'!$Y$51/('Market Penetration'!R35*'Market Data'!$W$51))</f>
        <v>157298.15973081722</v>
      </c>
      <c r="AO35" s="690">
        <f>IF('Market Penetration'!S35=0,0,1000*S35*'Market Data'!$Y$51/('Market Penetration'!S35*'Market Data'!$W$51))</f>
        <v>0</v>
      </c>
      <c r="AP35" s="460">
        <f>IF('Market Penetration'!T35=0,0,1000*T35*('Market Data'!$E$51+'Market Data'!$O$51+'Market Data'!$Y$51)/('Market Penetration'!T35*('Market Data'!$C$51+'Market Data'!$M$51+'Market Data'!$W$51)))</f>
        <v>29137.795854959757</v>
      </c>
      <c r="AQ35" s="462">
        <f>IF('Market Penetration'!U35=0,0,1000*U35*('Market Data'!$E$51+'Market Data'!$O$51+'Market Data'!$Y$51)/('Market Penetration'!U35*('Market Data'!$C$51+'Market Data'!$M$51+'Market Data'!$W$51)))</f>
        <v>96866.504329275645</v>
      </c>
    </row>
    <row r="36" spans="1:43" ht="15" x14ac:dyDescent="0.25">
      <c r="A36" s="403">
        <v>2034</v>
      </c>
      <c r="B36" s="423">
        <f t="shared" si="12"/>
        <v>3.9791181208454152E-2</v>
      </c>
      <c r="C36" s="424">
        <f>'7&amp;8 Sleep'!$M103+'7&amp;8 Sleep'!$Z103</f>
        <v>0.52630149539339521</v>
      </c>
      <c r="D36" s="424">
        <f>'7&amp;8 Sleep'!$M155+'7&amp;8 Sleep'!$Z155</f>
        <v>0.43390732339815058</v>
      </c>
      <c r="E36" s="700">
        <f>'7&amp;8 Sleep'!$M207+'7&amp;8 Sleep'!$Z207</f>
        <v>0</v>
      </c>
      <c r="F36" s="424">
        <f>'7&amp;8 Sleep'!$M260+'7&amp;8 Sleep'!$Z260</f>
        <v>0</v>
      </c>
      <c r="G36" s="658">
        <f>'7&amp;8 Sleep'!$M313+'7&amp;8 Sleep'!$Z313</f>
        <v>0</v>
      </c>
      <c r="H36" s="853">
        <f t="shared" si="13"/>
        <v>0.23814129525718775</v>
      </c>
      <c r="I36" s="658">
        <f>'7&amp;8 Day'!$M103+'7&amp;8 Day'!$Z103</f>
        <v>0.41826000154672027</v>
      </c>
      <c r="J36" s="658">
        <f>'7&amp;8 Day'!$M155+'7&amp;8 Day'!$Z155</f>
        <v>0.34359870319609198</v>
      </c>
      <c r="K36" s="658">
        <f>'7&amp;8 Day'!$M207+'7&amp;8 Day'!$Z207</f>
        <v>0</v>
      </c>
      <c r="L36" s="658">
        <f>'7&amp;8 Day'!$M260+'7&amp;8 Day'!$Z260</f>
        <v>0</v>
      </c>
      <c r="M36" s="705">
        <f>'7&amp;8 Day'!$M313+'7&amp;8 Day'!$Z313</f>
        <v>0</v>
      </c>
      <c r="N36" s="423">
        <f t="shared" si="14"/>
        <v>0.31257007419406868</v>
      </c>
      <c r="O36" s="424">
        <f>'7&amp;8 SU'!$M103+'7&amp;8 SU'!$Z103</f>
        <v>7.9156904315461161E-3</v>
      </c>
      <c r="P36" s="424">
        <f>'7&amp;8 SU'!$M155+'7&amp;8 SU'!$Z155</f>
        <v>0.67805750935556197</v>
      </c>
      <c r="Q36" s="700">
        <f>'7&amp;8 SU'!$M207+'7&amp;8 SU'!$Z207</f>
        <v>0</v>
      </c>
      <c r="R36" s="424">
        <f>'7&amp;8 SU'!$M260+'7&amp;8 SU'!$Z260</f>
        <v>1.4567260188232095E-3</v>
      </c>
      <c r="S36" s="658">
        <f>'7&amp;8 SU'!$M313+'7&amp;8 SU'!$Z313</f>
        <v>0</v>
      </c>
      <c r="T36" s="423">
        <f>B36*'Market Data'!$E$52+H36*'Market Data'!$O$52+N36*+N36*'Market Data'!$Y$52</f>
        <v>9.296373065725487E-2</v>
      </c>
      <c r="U36" s="425">
        <f>SUM(C36:G36)*'Market Data'!$E$52+SUM(I36:M36)*'Market Data'!$O$52+SUM(O36:S36)*+N36*'Market Data'!$Y$52</f>
        <v>0.84538864847465101</v>
      </c>
      <c r="W36" s="403">
        <v>2034</v>
      </c>
      <c r="X36" s="460">
        <f>IF('Market Penetration'!B36=0,0,1000*B36*'Market Data'!$E$51/('Market Penetration'!B36*'Market Data'!$C$51))</f>
        <v>53681.670509979434</v>
      </c>
      <c r="Y36" s="461">
        <f>IF('Market Penetration'!C36=0,0,1000*C36*'Market Data'!$E$51/('Market Penetration'!C36*'Market Data'!$C$51))</f>
        <v>116988.24681360256</v>
      </c>
      <c r="Z36" s="461">
        <f>IF('Market Penetration'!D36=0,0,1000*D36*'Market Data'!$E$51/('Market Penetration'!D36*'Market Data'!$C$51))</f>
        <v>123632.88597791757</v>
      </c>
      <c r="AA36" s="695">
        <f>IF('Market Penetration'!E36=0,0,1000*E36*'Market Data'!$E$51/('Market Penetration'!E36*'Market Data'!$C$51))</f>
        <v>0</v>
      </c>
      <c r="AB36" s="461">
        <f>IF('Market Penetration'!F36=0,0,1000*F36*'Market Data'!$E$51/('Market Penetration'!F36*'Market Data'!$C$51))</f>
        <v>0</v>
      </c>
      <c r="AC36" s="690">
        <f>IF('Market Penetration'!G36=0,0,1000*G36*'Market Data'!$E$51/('Market Penetration'!G36*'Market Data'!$C$51))</f>
        <v>0</v>
      </c>
      <c r="AD36" s="460">
        <f>IF('Market Penetration'!H36=0,0,1000*H36*'Market Data'!$O$51/('Market Penetration'!H36*'Market Data'!$M$51))</f>
        <v>44514.631615169012</v>
      </c>
      <c r="AE36" s="461">
        <f>IF('Market Penetration'!I36=0,0,1000*I36*'Market Data'!$O$51/('Market Penetration'!I36*'Market Data'!$M$51))</f>
        <v>96589.304273536618</v>
      </c>
      <c r="AF36" s="461">
        <f>IF('Market Penetration'!J36=0,0,1000*J36*'Market Data'!$O$51/('Market Penetration'!J36*'Market Data'!$M$51))</f>
        <v>103820.27253997134</v>
      </c>
      <c r="AG36" s="461">
        <f>IF('Market Penetration'!K36=0,0,1000*K36*'Market Data'!$O$51/('Market Penetration'!K36*'Market Data'!$M$51))</f>
        <v>0</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16066.821836557927</v>
      </c>
      <c r="AK36" s="461">
        <f>IF('Market Penetration'!O36=0,0,1000*O36*'Market Data'!$Y$51/('Market Penetration'!O36*'Market Data'!$W$51))</f>
        <v>149990.1025846886</v>
      </c>
      <c r="AL36" s="461">
        <f>IF('Market Penetration'!P36=0,0,1000*P36*'Market Data'!$Y$51/('Market Penetration'!P36*'Market Data'!$W$51))</f>
        <v>39500.597996025361</v>
      </c>
      <c r="AM36" s="695">
        <f>IF('Market Penetration'!Q36=0,0,1000*Q36*'Market Data'!$Y$51/('Market Penetration'!Q36*'Market Data'!$W$51))</f>
        <v>0</v>
      </c>
      <c r="AN36" s="461">
        <f>IF('Market Penetration'!R36=0,0,1000*R36*'Market Data'!$Y$51/('Market Penetration'!R36*'Market Data'!$W$51))</f>
        <v>153301.47865910656</v>
      </c>
      <c r="AO36" s="690">
        <f>IF('Market Penetration'!S36=0,0,1000*S36*'Market Data'!$Y$51/('Market Penetration'!S36*'Market Data'!$W$51))</f>
        <v>0</v>
      </c>
      <c r="AP36" s="460">
        <f>IF('Market Penetration'!T36=0,0,1000*T36*('Market Data'!$E$51+'Market Data'!$O$51+'Market Data'!$Y$51)/('Market Penetration'!T36*('Market Data'!$C$51+'Market Data'!$M$51+'Market Data'!$W$51)))</f>
        <v>26304.294159476405</v>
      </c>
      <c r="AQ36" s="462">
        <f>IF('Market Penetration'!U36=0,0,1000*U36*('Market Data'!$E$51+'Market Data'!$O$51+'Market Data'!$Y$51)/('Market Penetration'!U36*('Market Data'!$C$51+'Market Data'!$M$51+'Market Data'!$W$51)))</f>
        <v>96659.47555483316</v>
      </c>
    </row>
    <row r="37" spans="1:43" ht="15" x14ac:dyDescent="0.25">
      <c r="A37" s="402">
        <v>2035</v>
      </c>
      <c r="B37" s="426">
        <f t="shared" si="12"/>
        <v>3.5287680782477349E-2</v>
      </c>
      <c r="C37" s="427">
        <f>'7&amp;8 Sleep'!$M104+'7&amp;8 Sleep'!$Z104</f>
        <v>0.52717065404711727</v>
      </c>
      <c r="D37" s="427">
        <f>'7&amp;8 Sleep'!$M156+'7&amp;8 Sleep'!$Z156</f>
        <v>0.43754166517040544</v>
      </c>
      <c r="E37" s="701">
        <f>'7&amp;8 Sleep'!$M208+'7&amp;8 Sleep'!$Z208</f>
        <v>0</v>
      </c>
      <c r="F37" s="427">
        <f>'7&amp;8 Sleep'!$M261+'7&amp;8 Sleep'!$Z261</f>
        <v>0</v>
      </c>
      <c r="G37" s="659">
        <f>'7&amp;8 Sleep'!$M314+'7&amp;8 Sleep'!$Z314</f>
        <v>0</v>
      </c>
      <c r="H37" s="854">
        <f t="shared" si="13"/>
        <v>0.22934816008796932</v>
      </c>
      <c r="I37" s="659">
        <f>'7&amp;8 Day'!$M104+'7&amp;8 Day'!$Z104</f>
        <v>0.42045352216717435</v>
      </c>
      <c r="J37" s="659">
        <f>'7&amp;8 Day'!$M156+'7&amp;8 Day'!$Z156</f>
        <v>0.35019831774485632</v>
      </c>
      <c r="K37" s="659">
        <f>'7&amp;8 Day'!$M208+'7&amp;8 Day'!$Z208</f>
        <v>0</v>
      </c>
      <c r="L37" s="659">
        <f>'7&amp;8 Day'!$M261+'7&amp;8 Day'!$Z261</f>
        <v>0</v>
      </c>
      <c r="M37" s="706">
        <f>'7&amp;8 Day'!$M314+'7&amp;8 Day'!$Z314</f>
        <v>0</v>
      </c>
      <c r="N37" s="426">
        <f t="shared" si="14"/>
        <v>0.30731416764085218</v>
      </c>
      <c r="O37" s="427">
        <f>'7&amp;8 SU'!$M104+'7&amp;8 SU'!$Z104</f>
        <v>4.490953179092096E-3</v>
      </c>
      <c r="P37" s="427">
        <f>'7&amp;8 SU'!$M156+'7&amp;8 SU'!$Z156</f>
        <v>0.68575682894469259</v>
      </c>
      <c r="Q37" s="701">
        <f>'7&amp;8 SU'!$M208+'7&amp;8 SU'!$Z208</f>
        <v>0</v>
      </c>
      <c r="R37" s="427">
        <f>'7&amp;8 SU'!$M261+'7&amp;8 SU'!$Z261</f>
        <v>2.4380502353631068E-3</v>
      </c>
      <c r="S37" s="659">
        <f>'7&amp;8 SU'!$M314+'7&amp;8 SU'!$Z314</f>
        <v>0</v>
      </c>
      <c r="T37" s="426">
        <f>B37*'Market Data'!$E$52+H37*'Market Data'!$O$52+N37*+N37*'Market Data'!$Y$52</f>
        <v>8.7534290107489934E-2</v>
      </c>
      <c r="U37" s="428">
        <f>SUM(C37:G37)*'Market Data'!$E$52+SUM(I37:M37)*'Market Data'!$O$52+SUM(O37:S37)*+N37*'Market Data'!$Y$52</f>
        <v>0.85034674769587115</v>
      </c>
      <c r="W37" s="402">
        <v>2035</v>
      </c>
      <c r="X37" s="463">
        <f>IF('Market Penetration'!B37=0,0,1000*B37*'Market Data'!$E$51/('Market Penetration'!B37*'Market Data'!$C$51))</f>
        <v>50347.100837708051</v>
      </c>
      <c r="Y37" s="464">
        <f>IF('Market Penetration'!C37=0,0,1000*C37*'Market Data'!$E$51/('Market Penetration'!C37*'Market Data'!$C$51))</f>
        <v>117035.46403496241</v>
      </c>
      <c r="Z37" s="464">
        <f>IF('Market Penetration'!D37=0,0,1000*D37*'Market Data'!$E$51/('Market Penetration'!D37*'Market Data'!$C$51))</f>
        <v>123446.35429225268</v>
      </c>
      <c r="AA37" s="696">
        <f>IF('Market Penetration'!E37=0,0,1000*E37*'Market Data'!$E$51/('Market Penetration'!E37*'Market Data'!$C$51))</f>
        <v>0</v>
      </c>
      <c r="AB37" s="464">
        <f>IF('Market Penetration'!F37=0,0,1000*F37*'Market Data'!$E$51/('Market Penetration'!F37*'Market Data'!$C$51))</f>
        <v>0</v>
      </c>
      <c r="AC37" s="691">
        <f>IF('Market Penetration'!G37=0,0,1000*G37*'Market Data'!$E$51/('Market Penetration'!G37*'Market Data'!$C$51))</f>
        <v>0</v>
      </c>
      <c r="AD37" s="463">
        <f>IF('Market Penetration'!H37=0,0,1000*H37*'Market Data'!$O$51/('Market Penetration'!H37*'Market Data'!$M$51))</f>
        <v>43793.313722105624</v>
      </c>
      <c r="AE37" s="464">
        <f>IF('Market Penetration'!I37=0,0,1000*I37*'Market Data'!$O$51/('Market Penetration'!I37*'Market Data'!$M$51))</f>
        <v>96302.329850048583</v>
      </c>
      <c r="AF37" s="464">
        <f>IF('Market Penetration'!J37=0,0,1000*J37*'Market Data'!$O$51/('Market Penetration'!J37*'Market Data'!$M$51))</f>
        <v>103408.77201104045</v>
      </c>
      <c r="AG37" s="464">
        <f>IF('Market Penetration'!K37=0,0,1000*K37*'Market Data'!$O$51/('Market Penetration'!K37*'Market Data'!$M$51))</f>
        <v>0</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15940.263064662087</v>
      </c>
      <c r="AK37" s="464">
        <f>IF('Market Penetration'!O37=0,0,1000*O37*'Market Data'!$Y$51/('Market Penetration'!O37*'Market Data'!$W$51))</f>
        <v>156074.06406397253</v>
      </c>
      <c r="AL37" s="464">
        <f>IF('Market Penetration'!P37=0,0,1000*P37*'Market Data'!$Y$51/('Market Penetration'!P37*'Market Data'!$W$51))</f>
        <v>39506.04186665098</v>
      </c>
      <c r="AM37" s="696">
        <f>IF('Market Penetration'!Q37=0,0,1000*Q37*'Market Data'!$Y$51/('Market Penetration'!Q37*'Market Data'!$W$51))</f>
        <v>0</v>
      </c>
      <c r="AN37" s="464">
        <f>IF('Market Penetration'!R37=0,0,1000*R37*'Market Data'!$Y$51/('Market Penetration'!R37*'Market Data'!$W$51))</f>
        <v>150087.26816660186</v>
      </c>
      <c r="AO37" s="691">
        <f>IF('Market Penetration'!S37=0,0,1000*S37*'Market Data'!$Y$51/('Market Penetration'!S37*'Market Data'!$W$51))</f>
        <v>0</v>
      </c>
      <c r="AP37" s="463">
        <f>IF('Market Penetration'!T37=0,0,1000*T37*('Market Data'!$E$51+'Market Data'!$O$51+'Market Data'!$Y$51)/('Market Penetration'!T37*('Market Data'!$C$51+'Market Data'!$M$51+'Market Data'!$W$51)))</f>
        <v>25268.117849759095</v>
      </c>
      <c r="AQ37" s="465">
        <f>IF('Market Penetration'!U37=0,0,1000*U37*('Market Data'!$E$51+'Market Data'!$O$51+'Market Data'!$Y$51)/('Market Penetration'!U37*('Market Data'!$C$51+'Market Data'!$M$51+'Market Data'!$W$51)))</f>
        <v>96454.970740093384</v>
      </c>
    </row>
    <row r="38" spans="1:43" ht="15" x14ac:dyDescent="0.25">
      <c r="A38" s="429">
        <v>2036</v>
      </c>
      <c r="B38" s="430">
        <f t="shared" si="12"/>
        <v>2.8727757204398352E-2</v>
      </c>
      <c r="C38" s="431">
        <f>'7&amp;8 Sleep'!$M105+'7&amp;8 Sleep'!$Z105</f>
        <v>0.52437944926272129</v>
      </c>
      <c r="D38" s="431">
        <f>'7&amp;8 Sleep'!$M157+'7&amp;8 Sleep'!$Z157</f>
        <v>0.44689279353288036</v>
      </c>
      <c r="E38" s="702">
        <f>'7&amp;8 Sleep'!$M209+'7&amp;8 Sleep'!$Z209</f>
        <v>0</v>
      </c>
      <c r="F38" s="431">
        <f>'7&amp;8 Sleep'!$M262+'7&amp;8 Sleep'!$Z262</f>
        <v>0</v>
      </c>
      <c r="G38" s="660">
        <f>'7&amp;8 Sleep'!$M315+'7&amp;8 Sleep'!$Z315</f>
        <v>0</v>
      </c>
      <c r="H38" s="855">
        <f t="shared" si="13"/>
        <v>0.2155555408537676</v>
      </c>
      <c r="I38" s="660">
        <f>'7&amp;8 Day'!$M105+'7&amp;8 Day'!$Z105</f>
        <v>0.42466074010282373</v>
      </c>
      <c r="J38" s="660">
        <f>'7&amp;8 Day'!$M157+'7&amp;8 Day'!$Z157</f>
        <v>0.35978371904340867</v>
      </c>
      <c r="K38" s="660">
        <f>'7&amp;8 Day'!$M209+'7&amp;8 Day'!$Z209</f>
        <v>0</v>
      </c>
      <c r="L38" s="660">
        <f>'7&amp;8 Day'!$M262+'7&amp;8 Day'!$Z262</f>
        <v>0</v>
      </c>
      <c r="M38" s="707">
        <f>'7&amp;8 Day'!$M315+'7&amp;8 Day'!$Z315</f>
        <v>0</v>
      </c>
      <c r="N38" s="430">
        <f t="shared" si="14"/>
        <v>0.28797340505721503</v>
      </c>
      <c r="O38" s="431">
        <f>'7&amp;8 SU'!$M105+'7&amp;8 SU'!$Z105</f>
        <v>2.093018505965524E-2</v>
      </c>
      <c r="P38" s="431">
        <f>'7&amp;8 SU'!$M157+'7&amp;8 SU'!$Z157</f>
        <v>0.6877561890729913</v>
      </c>
      <c r="Q38" s="702">
        <f>'7&amp;8 SU'!$M209+'7&amp;8 SU'!$Z209</f>
        <v>0</v>
      </c>
      <c r="R38" s="431">
        <f>'7&amp;8 SU'!$M262+'7&amp;8 SU'!$Z262</f>
        <v>3.3402208101384022E-3</v>
      </c>
      <c r="S38" s="660">
        <f>'7&amp;8 SU'!$M315+'7&amp;8 SU'!$Z315</f>
        <v>0</v>
      </c>
      <c r="T38" s="433">
        <f>B38*'Market Data'!$E$52+H38*'Market Data'!$O$52+N38*+N38*'Market Data'!$Y$52</f>
        <v>7.8780620508357324E-2</v>
      </c>
      <c r="U38" s="434">
        <f>SUM(C38:G38)*'Market Data'!$E$52+SUM(I38:M38)*'Market Data'!$O$52+SUM(O38:S38)*+N38*'Market Data'!$Y$52</f>
        <v>0.85736596851077607</v>
      </c>
      <c r="W38" s="429">
        <v>2036</v>
      </c>
      <c r="X38" s="466">
        <f>IF('Market Penetration'!B38=0,0,1000*B38*'Market Data'!$E$51/('Market Penetration'!B38*'Market Data'!$C$51))</f>
        <v>45101.624157301849</v>
      </c>
      <c r="Y38" s="467">
        <f>IF('Market Penetration'!C38=0,0,1000*C38*'Market Data'!$E$51/('Market Penetration'!C38*'Market Data'!$C$51))</f>
        <v>117085.51710328675</v>
      </c>
      <c r="Z38" s="467">
        <f>IF('Market Penetration'!D38=0,0,1000*D38*'Market Data'!$E$51/('Market Penetration'!D38*'Market Data'!$C$51))</f>
        <v>122972.62385224024</v>
      </c>
      <c r="AA38" s="697">
        <f>IF('Market Penetration'!E38=0,0,1000*E38*'Market Data'!$E$51/('Market Penetration'!E38*'Market Data'!$C$51))</f>
        <v>0</v>
      </c>
      <c r="AB38" s="467">
        <f>IF('Market Penetration'!F38=0,0,1000*F38*'Market Data'!$E$51/('Market Penetration'!F38*'Market Data'!$C$51))</f>
        <v>0</v>
      </c>
      <c r="AC38" s="692">
        <f>IF('Market Penetration'!G38=0,0,1000*G38*'Market Data'!$E$51/('Market Penetration'!G38*'Market Data'!$C$51))</f>
        <v>0</v>
      </c>
      <c r="AD38" s="466">
        <f>IF('Market Penetration'!H38=0,0,1000*H38*'Market Data'!$O$51/('Market Penetration'!H38*'Market Data'!$M$51))</f>
        <v>42969.894716500625</v>
      </c>
      <c r="AE38" s="467">
        <f>IF('Market Penetration'!I38=0,0,1000*I38*'Market Data'!$O$51/('Market Penetration'!I38*'Market Data'!$M$51))</f>
        <v>95391.725348226872</v>
      </c>
      <c r="AF38" s="467">
        <f>IF('Market Penetration'!J38=0,0,1000*J38*'Market Data'!$O$51/('Market Penetration'!J38*'Market Data'!$M$51))</f>
        <v>102170.97369523835</v>
      </c>
      <c r="AG38" s="467">
        <f>IF('Market Penetration'!K38=0,0,1000*K38*'Market Data'!$O$51/('Market Penetration'!K38*'Market Data'!$M$51))</f>
        <v>0</v>
      </c>
      <c r="AH38" s="467">
        <f>IF('Market Penetration'!L38=0,0,1000*L38*'Market Data'!$O$51/('Market Penetration'!L38*'Market Data'!$M$51))</f>
        <v>0</v>
      </c>
      <c r="AI38" s="860">
        <f>IF('Market Penetration'!M38=0,0,1000*M38*'Market Data'!$O$51/('Market Penetration'!M38*'Market Data'!$M$51))</f>
        <v>0</v>
      </c>
      <c r="AJ38" s="466">
        <f>IF('Market Penetration'!N38=0,0,1000*N38*'Market Data'!$Y$51/('Market Penetration'!N38*'Market Data'!$W$51))</f>
        <v>15622.959835893433</v>
      </c>
      <c r="AK38" s="467">
        <f>IF('Market Penetration'!O38=0,0,1000*O38*'Market Data'!$Y$51/('Market Penetration'!O38*'Market Data'!$W$51))</f>
        <v>131058.00034610371</v>
      </c>
      <c r="AL38" s="467">
        <f>IF('Market Penetration'!P38=0,0,1000*P38*'Market Data'!$Y$51/('Market Penetration'!P38*'Market Data'!$W$51))</f>
        <v>38067.281091924589</v>
      </c>
      <c r="AM38" s="697">
        <f>IF('Market Penetration'!Q38=0,0,1000*Q38*'Market Data'!$Y$51/('Market Penetration'!Q38*'Market Data'!$W$51))</f>
        <v>0</v>
      </c>
      <c r="AN38" s="467">
        <f>IF('Market Penetration'!R38=0,0,1000*R38*'Market Data'!$Y$51/('Market Penetration'!R38*'Market Data'!$W$51))</f>
        <v>144310.44844163384</v>
      </c>
      <c r="AO38" s="692">
        <f>IF('Market Penetration'!S38=0,0,1000*S38*'Market Data'!$Y$51/('Market Penetration'!S38*'Market Data'!$W$51))</f>
        <v>0</v>
      </c>
      <c r="AP38" s="468">
        <f>IF('Market Penetration'!T38=0,0,1000*T38*('Market Data'!$E$51+'Market Data'!$O$51+'Market Data'!$Y$51)/('Market Penetration'!T38*('Market Data'!$C$51+'Market Data'!$M$51+'Market Data'!$W$51)))</f>
        <v>23929.387612366409</v>
      </c>
      <c r="AQ38" s="469">
        <f>IF('Market Penetration'!U38=0,0,1000*U38*('Market Data'!$E$51+'Market Data'!$O$51+'Market Data'!$Y$51)/('Market Penetration'!U38*('Market Data'!$C$51+'Market Data'!$M$51+'Market Data'!$W$51)))</f>
        <v>95390.031195998541</v>
      </c>
    </row>
    <row r="39" spans="1:43" ht="15" x14ac:dyDescent="0.25">
      <c r="A39" s="403">
        <v>2037</v>
      </c>
      <c r="B39" s="423">
        <f t="shared" si="12"/>
        <v>2.8110700191677496E-2</v>
      </c>
      <c r="C39" s="424">
        <f>'7&amp;8 Sleep'!$M106+'7&amp;8 Sleep'!$Z106</f>
        <v>0.521327643678549</v>
      </c>
      <c r="D39" s="424">
        <f>'7&amp;8 Sleep'!$M158+'7&amp;8 Sleep'!$Z158</f>
        <v>0.4505616561297735</v>
      </c>
      <c r="E39" s="700">
        <f>'7&amp;8 Sleep'!$M210+'7&amp;8 Sleep'!$Z210</f>
        <v>0</v>
      </c>
      <c r="F39" s="424">
        <f>'7&amp;8 Sleep'!$M263+'7&amp;8 Sleep'!$Z263</f>
        <v>0</v>
      </c>
      <c r="G39" s="658">
        <f>'7&amp;8 Sleep'!$M316+'7&amp;8 Sleep'!$Z316</f>
        <v>0</v>
      </c>
      <c r="H39" s="853">
        <f t="shared" si="13"/>
        <v>0.20711303788547086</v>
      </c>
      <c r="I39" s="658">
        <f>'7&amp;8 Day'!$M106+'7&amp;8 Day'!$Z106</f>
        <v>0.42853834807516999</v>
      </c>
      <c r="J39" s="658">
        <f>'7&amp;8 Day'!$M158+'7&amp;8 Day'!$Z158</f>
        <v>0.36434861403935909</v>
      </c>
      <c r="K39" s="658">
        <f>'7&amp;8 Day'!$M210+'7&amp;8 Day'!$Z210</f>
        <v>0</v>
      </c>
      <c r="L39" s="658">
        <f>'7&amp;8 Day'!$M263+'7&amp;8 Day'!$Z263</f>
        <v>0</v>
      </c>
      <c r="M39" s="705">
        <f>'7&amp;8 Day'!$M316+'7&amp;8 Day'!$Z316</f>
        <v>0</v>
      </c>
      <c r="N39" s="423">
        <f t="shared" si="14"/>
        <v>0.2694927835616332</v>
      </c>
      <c r="O39" s="424">
        <f>'7&amp;8 SU'!$M106+'7&amp;8 SU'!$Z106</f>
        <v>3.4108786300720034E-2</v>
      </c>
      <c r="P39" s="424">
        <f>'7&amp;8 SU'!$M158+'7&amp;8 SU'!$Z158</f>
        <v>0.69225730812599706</v>
      </c>
      <c r="Q39" s="700">
        <f>'7&amp;8 SU'!$M210+'7&amp;8 SU'!$Z210</f>
        <v>0</v>
      </c>
      <c r="R39" s="424">
        <f>'7&amp;8 SU'!$M263+'7&amp;8 SU'!$Z263</f>
        <v>4.1411220116496783E-3</v>
      </c>
      <c r="S39" s="658">
        <f>'7&amp;8 SU'!$M316+'7&amp;8 SU'!$Z316</f>
        <v>0</v>
      </c>
      <c r="T39" s="423">
        <f>B39*'Market Data'!$E$52+H39*'Market Data'!$O$52+N39*+N39*'Market Data'!$Y$52</f>
        <v>7.5402088918089402E-2</v>
      </c>
      <c r="U39" s="425">
        <f>SUM(C39:G39)*'Market Data'!$E$52+SUM(I39:M39)*'Market Data'!$O$52+SUM(O39:S39)*+N39*'Market Data'!$Y$52</f>
        <v>0.85908718739963541</v>
      </c>
      <c r="W39" s="403">
        <v>2037</v>
      </c>
      <c r="X39" s="460">
        <f>IF('Market Penetration'!B39=0,0,1000*B39*'Market Data'!$E$51/('Market Penetration'!B39*'Market Data'!$C$51))</f>
        <v>44741.460967342391</v>
      </c>
      <c r="Y39" s="461">
        <f>IF('Market Penetration'!C39=0,0,1000*C39*'Market Data'!$E$51/('Market Penetration'!C39*'Market Data'!$C$51))</f>
        <v>117146.19786982932</v>
      </c>
      <c r="Z39" s="461">
        <f>IF('Market Penetration'!D39=0,0,1000*D39*'Market Data'!$E$51/('Market Penetration'!D39*'Market Data'!$C$51))</f>
        <v>122731.42507071499</v>
      </c>
      <c r="AA39" s="695">
        <f>IF('Market Penetration'!E39=0,0,1000*E39*'Market Data'!$E$51/('Market Penetration'!E39*'Market Data'!$C$51))</f>
        <v>0</v>
      </c>
      <c r="AB39" s="461">
        <f>IF('Market Penetration'!F39=0,0,1000*F39*'Market Data'!$E$51/('Market Penetration'!F39*'Market Data'!$C$51))</f>
        <v>0</v>
      </c>
      <c r="AC39" s="690">
        <f>IF('Market Penetration'!G39=0,0,1000*G39*'Market Data'!$E$51/('Market Penetration'!G39*'Market Data'!$C$51))</f>
        <v>0</v>
      </c>
      <c r="AD39" s="460">
        <f>IF('Market Penetration'!H39=0,0,1000*H39*'Market Data'!$O$51/('Market Penetration'!H39*'Market Data'!$M$51))</f>
        <v>42383.524810766517</v>
      </c>
      <c r="AE39" s="461">
        <f>IF('Market Penetration'!I39=0,0,1000*I39*'Market Data'!$O$51/('Market Penetration'!I39*'Market Data'!$M$51))</f>
        <v>94878.511522627639</v>
      </c>
      <c r="AF39" s="461">
        <f>IF('Market Penetration'!J39=0,0,1000*J39*'Market Data'!$O$51/('Market Penetration'!J39*'Market Data'!$M$51))</f>
        <v>101596.53509534481</v>
      </c>
      <c r="AG39" s="461">
        <f>IF('Market Penetration'!K39=0,0,1000*K39*'Market Data'!$O$51/('Market Penetration'!K39*'Market Data'!$M$51))</f>
        <v>0</v>
      </c>
      <c r="AH39" s="461">
        <f>IF('Market Penetration'!L39=0,0,1000*L39*'Market Data'!$O$51/('Market Penetration'!L39*'Market Data'!$M$51))</f>
        <v>0</v>
      </c>
      <c r="AI39" s="462">
        <f>IF('Market Penetration'!M39=0,0,1000*M39*'Market Data'!$O$51/('Market Penetration'!M39*'Market Data'!$M$51))</f>
        <v>0</v>
      </c>
      <c r="AJ39" s="460">
        <f>IF('Market Penetration'!N39=0,0,1000*N39*'Market Data'!$Y$51/('Market Penetration'!N39*'Market Data'!$W$51))</f>
        <v>15258.69536745302</v>
      </c>
      <c r="AK39" s="461">
        <f>IF('Market Penetration'!O39=0,0,1000*O39*'Market Data'!$Y$51/('Market Penetration'!O39*'Market Data'!$W$51))</f>
        <v>114044.96452793656</v>
      </c>
      <c r="AL39" s="461">
        <f>IF('Market Penetration'!P39=0,0,1000*P39*'Market Data'!$Y$51/('Market Penetration'!P39*'Market Data'!$W$51))</f>
        <v>37034.586263586534</v>
      </c>
      <c r="AM39" s="695">
        <f>IF('Market Penetration'!Q39=0,0,1000*Q39*'Market Data'!$Y$51/('Market Penetration'!Q39*'Market Data'!$W$51))</f>
        <v>0</v>
      </c>
      <c r="AN39" s="461">
        <f>IF('Market Penetration'!R39=0,0,1000*R39*'Market Data'!$Y$51/('Market Penetration'!R39*'Market Data'!$W$51))</f>
        <v>140103.67819712925</v>
      </c>
      <c r="AO39" s="690">
        <f>IF('Market Penetration'!S39=0,0,1000*S39*'Market Data'!$Y$51/('Market Penetration'!S39*'Market Data'!$W$51))</f>
        <v>0</v>
      </c>
      <c r="AP39" s="460">
        <f>IF('Market Penetration'!T39=0,0,1000*T39*('Market Data'!$E$51+'Market Data'!$O$51+'Market Data'!$Y$51)/('Market Penetration'!T39*('Market Data'!$C$51+'Market Data'!$M$51+'Market Data'!$W$51)))</f>
        <v>23667.640782285671</v>
      </c>
      <c r="AQ39" s="462">
        <f>IF('Market Penetration'!U39=0,0,1000*U39*('Market Data'!$E$51+'Market Data'!$O$51+'Market Data'!$Y$51)/('Market Penetration'!U39*('Market Data'!$C$51+'Market Data'!$M$51+'Market Data'!$W$51)))</f>
        <v>94463.904851367435</v>
      </c>
    </row>
    <row r="40" spans="1:43" ht="15" x14ac:dyDescent="0.25">
      <c r="A40" s="403">
        <v>2038</v>
      </c>
      <c r="B40" s="423">
        <f t="shared" si="12"/>
        <v>2.7997722159517124E-2</v>
      </c>
      <c r="C40" s="424">
        <f>'7&amp;8 Sleep'!$M107+'7&amp;8 Sleep'!$Z107</f>
        <v>0.51593661560162263</v>
      </c>
      <c r="D40" s="424">
        <f>'7&amp;8 Sleep'!$M159+'7&amp;8 Sleep'!$Z159</f>
        <v>0.4560656622388603</v>
      </c>
      <c r="E40" s="700">
        <f>'7&amp;8 Sleep'!$M211+'7&amp;8 Sleep'!$Z211</f>
        <v>0</v>
      </c>
      <c r="F40" s="424">
        <f>'7&amp;8 Sleep'!$M264+'7&amp;8 Sleep'!$Z264</f>
        <v>0</v>
      </c>
      <c r="G40" s="658">
        <f>'7&amp;8 Sleep'!$M317+'7&amp;8 Sleep'!$Z317</f>
        <v>0</v>
      </c>
      <c r="H40" s="853">
        <f t="shared" si="13"/>
        <v>0.19724638777563985</v>
      </c>
      <c r="I40" s="658">
        <f>'7&amp;8 Day'!$M107+'7&amp;8 Day'!$Z107</f>
        <v>0.42995525085731218</v>
      </c>
      <c r="J40" s="658">
        <f>'7&amp;8 Day'!$M159+'7&amp;8 Day'!$Z159</f>
        <v>0.37279836136704791</v>
      </c>
      <c r="K40" s="658">
        <f>'7&amp;8 Day'!$M211+'7&amp;8 Day'!$Z211</f>
        <v>0</v>
      </c>
      <c r="L40" s="658">
        <f>'7&amp;8 Day'!$M264+'7&amp;8 Day'!$Z264</f>
        <v>0</v>
      </c>
      <c r="M40" s="705">
        <f>'7&amp;8 Day'!$M317+'7&amp;8 Day'!$Z317</f>
        <v>0</v>
      </c>
      <c r="N40" s="423">
        <f t="shared" si="14"/>
        <v>0.25546987849241776</v>
      </c>
      <c r="O40" s="424">
        <f>'7&amp;8 SU'!$M107+'7&amp;8 SU'!$Z107</f>
        <v>5.9622206463218537E-2</v>
      </c>
      <c r="P40" s="424">
        <f>'7&amp;8 SU'!$M159+'7&amp;8 SU'!$Z159</f>
        <v>0.67957376596856811</v>
      </c>
      <c r="Q40" s="700">
        <f>'7&amp;8 SU'!$M211+'7&amp;8 SU'!$Z211</f>
        <v>0</v>
      </c>
      <c r="R40" s="424">
        <f>'7&amp;8 SU'!$M264+'7&amp;8 SU'!$Z264</f>
        <v>5.3341490757954982E-3</v>
      </c>
      <c r="S40" s="658">
        <f>'7&amp;8 SU'!$M317+'7&amp;8 SU'!$Z317</f>
        <v>0</v>
      </c>
      <c r="T40" s="423">
        <f>B40*'Market Data'!$E$52+H40*'Market Data'!$O$52+N40*+N40*'Market Data'!$Y$52</f>
        <v>7.2279736228472127E-2</v>
      </c>
      <c r="U40" s="425">
        <f>SUM(C40:G40)*'Market Data'!$E$52+SUM(I40:M40)*'Market Data'!$O$52+SUM(O40:S40)*+N40*'Market Data'!$Y$52</f>
        <v>0.86095198829710062</v>
      </c>
      <c r="W40" s="403">
        <v>2038</v>
      </c>
      <c r="X40" s="460">
        <f>IF('Market Penetration'!B40=0,0,1000*B40*'Market Data'!$E$51/('Market Penetration'!B40*'Market Data'!$C$51))</f>
        <v>44674.924447163256</v>
      </c>
      <c r="Y40" s="461">
        <f>IF('Market Penetration'!C40=0,0,1000*C40*'Market Data'!$E$51/('Market Penetration'!C40*'Market Data'!$C$51))</f>
        <v>117453.86922309575</v>
      </c>
      <c r="Z40" s="461">
        <f>IF('Market Penetration'!D40=0,0,1000*D40*'Market Data'!$E$51/('Market Penetration'!D40*'Market Data'!$C$51))</f>
        <v>122260.81085871617</v>
      </c>
      <c r="AA40" s="695">
        <f>IF('Market Penetration'!E40=0,0,1000*E40*'Market Data'!$E$51/('Market Penetration'!E40*'Market Data'!$C$51))</f>
        <v>0</v>
      </c>
      <c r="AB40" s="461">
        <f>IF('Market Penetration'!F40=0,0,1000*F40*'Market Data'!$E$51/('Market Penetration'!F40*'Market Data'!$C$51))</f>
        <v>0</v>
      </c>
      <c r="AC40" s="690">
        <f>IF('Market Penetration'!G40=0,0,1000*G40*'Market Data'!$E$51/('Market Penetration'!G40*'Market Data'!$C$51))</f>
        <v>0</v>
      </c>
      <c r="AD40" s="460">
        <f>IF('Market Penetration'!H40=0,0,1000*H40*'Market Data'!$O$51/('Market Penetration'!H40*'Market Data'!$M$51))</f>
        <v>41538.993824072968</v>
      </c>
      <c r="AE40" s="461">
        <f>IF('Market Penetration'!I40=0,0,1000*I40*'Market Data'!$O$51/('Market Penetration'!I40*'Market Data'!$M$51))</f>
        <v>94748.54153983893</v>
      </c>
      <c r="AF40" s="461">
        <f>IF('Market Penetration'!J40=0,0,1000*J40*'Market Data'!$O$51/('Market Penetration'!J40*'Market Data'!$M$51))</f>
        <v>100667.68360983748</v>
      </c>
      <c r="AG40" s="461">
        <f>IF('Market Penetration'!K40=0,0,1000*K40*'Market Data'!$O$51/('Market Penetration'!K40*'Market Data'!$M$51))</f>
        <v>0</v>
      </c>
      <c r="AH40" s="461">
        <f>IF('Market Penetration'!L40=0,0,1000*L40*'Market Data'!$O$51/('Market Penetration'!L40*'Market Data'!$M$51))</f>
        <v>0</v>
      </c>
      <c r="AI40" s="462">
        <f>IF('Market Penetration'!M40=0,0,1000*M40*'Market Data'!$O$51/('Market Penetration'!M40*'Market Data'!$M$51))</f>
        <v>0</v>
      </c>
      <c r="AJ40" s="460">
        <f>IF('Market Penetration'!N40=0,0,1000*N40*'Market Data'!$Y$51/('Market Penetration'!N40*'Market Data'!$W$51))</f>
        <v>15169.490432674522</v>
      </c>
      <c r="AK40" s="461">
        <f>IF('Market Penetration'!O40=0,0,1000*O40*'Market Data'!$Y$51/('Market Penetration'!O40*'Market Data'!$W$51))</f>
        <v>94522.826351666983</v>
      </c>
      <c r="AL40" s="461">
        <f>IF('Market Penetration'!P40=0,0,1000*P40*'Market Data'!$Y$51/('Market Penetration'!P40*'Market Data'!$W$51))</f>
        <v>35448.439654067821</v>
      </c>
      <c r="AM40" s="695">
        <f>IF('Market Penetration'!Q40=0,0,1000*Q40*'Market Data'!$Y$51/('Market Penetration'!Q40*'Market Data'!$W$51))</f>
        <v>0</v>
      </c>
      <c r="AN40" s="461">
        <f>IF('Market Penetration'!R40=0,0,1000*R40*'Market Data'!$Y$51/('Market Penetration'!R40*'Market Data'!$W$51))</f>
        <v>133883.4841279308</v>
      </c>
      <c r="AO40" s="690">
        <f>IF('Market Penetration'!S40=0,0,1000*S40*'Market Data'!$Y$51/('Market Penetration'!S40*'Market Data'!$W$51))</f>
        <v>0</v>
      </c>
      <c r="AP40" s="460">
        <f>IF('Market Penetration'!T40=0,0,1000*T40*('Market Data'!$E$51+'Market Data'!$O$51+'Market Data'!$Y$51)/('Market Penetration'!T40*('Market Data'!$C$51+'Market Data'!$M$51+'Market Data'!$W$51)))</f>
        <v>23484.238863310253</v>
      </c>
      <c r="AQ40" s="462">
        <f>IF('Market Penetration'!U40=0,0,1000*U40*('Market Data'!$E$51+'Market Data'!$O$51+'Market Data'!$Y$51)/('Market Penetration'!U40*('Market Data'!$C$51+'Market Data'!$M$51+'Market Data'!$W$51)))</f>
        <v>93557.145455343096</v>
      </c>
    </row>
    <row r="41" spans="1:43" ht="15" x14ac:dyDescent="0.25">
      <c r="A41" s="403">
        <v>2039</v>
      </c>
      <c r="B41" s="423">
        <f t="shared" si="12"/>
        <v>2.5239787813799319E-2</v>
      </c>
      <c r="C41" s="424">
        <f>'7&amp;8 Sleep'!$M108+'7&amp;8 Sleep'!$Z108</f>
        <v>0.51136027848254084</v>
      </c>
      <c r="D41" s="424">
        <f>'7&amp;8 Sleep'!$M160+'7&amp;8 Sleep'!$Z160</f>
        <v>0.46339993370365984</v>
      </c>
      <c r="E41" s="700">
        <f>'7&amp;8 Sleep'!$M212+'7&amp;8 Sleep'!$Z212</f>
        <v>0</v>
      </c>
      <c r="F41" s="424">
        <f>'7&amp;8 Sleep'!$M265+'7&amp;8 Sleep'!$Z265</f>
        <v>0</v>
      </c>
      <c r="G41" s="658">
        <f>'7&amp;8 Sleep'!$M318+'7&amp;8 Sleep'!$Z318</f>
        <v>0</v>
      </c>
      <c r="H41" s="853">
        <f t="shared" si="13"/>
        <v>0.18668974443072905</v>
      </c>
      <c r="I41" s="658">
        <f>'7&amp;8 Day'!$M108+'7&amp;8 Day'!$Z108</f>
        <v>0.4320343761121988</v>
      </c>
      <c r="J41" s="658">
        <f>'7&amp;8 Day'!$M160+'7&amp;8 Day'!$Z160</f>
        <v>0.38115660789615691</v>
      </c>
      <c r="K41" s="658">
        <f>'7&amp;8 Day'!$M212+'7&amp;8 Day'!$Z212</f>
        <v>0</v>
      </c>
      <c r="L41" s="658">
        <f>'7&amp;8 Day'!$M265+'7&amp;8 Day'!$Z265</f>
        <v>1.192715609151925E-4</v>
      </c>
      <c r="M41" s="705">
        <f>'7&amp;8 Day'!$M318+'7&amp;8 Day'!$Z318</f>
        <v>0</v>
      </c>
      <c r="N41" s="423">
        <f t="shared" si="14"/>
        <v>0.22316018477274668</v>
      </c>
      <c r="O41" s="424">
        <f>'7&amp;8 SU'!$M108+'7&amp;8 SU'!$Z108</f>
        <v>0.10229049153494393</v>
      </c>
      <c r="P41" s="424">
        <f>'7&amp;8 SU'!$M160+'7&amp;8 SU'!$Z160</f>
        <v>0.6673350287995361</v>
      </c>
      <c r="Q41" s="700">
        <f>'7&amp;8 SU'!$M212+'7&amp;8 SU'!$Z212</f>
        <v>0</v>
      </c>
      <c r="R41" s="424">
        <f>'7&amp;8 SU'!$M265+'7&amp;8 SU'!$Z265</f>
        <v>7.2142948927732906E-3</v>
      </c>
      <c r="S41" s="658">
        <f>'7&amp;8 SU'!$M318+'7&amp;8 SU'!$Z318</f>
        <v>0</v>
      </c>
      <c r="T41" s="423">
        <f>B41*'Market Data'!$E$52+H41*'Market Data'!$O$52+N41*+N41*'Market Data'!$Y$52</f>
        <v>6.6495859102654889E-2</v>
      </c>
      <c r="U41" s="425">
        <f>SUM(C41:G41)*'Market Data'!$E$52+SUM(I41:M41)*'Market Data'!$O$52+SUM(O41:S41)*+N41*'Market Data'!$Y$52</f>
        <v>0.86383838355018827</v>
      </c>
      <c r="W41" s="403">
        <v>2039</v>
      </c>
      <c r="X41" s="460">
        <f>IF('Market Penetration'!B41=0,0,1000*B41*'Market Data'!$E$51/('Market Penetration'!B41*'Market Data'!$C$51))</f>
        <v>42673.427548587475</v>
      </c>
      <c r="Y41" s="461">
        <f>IF('Market Penetration'!C41=0,0,1000*C41*'Market Data'!$E$51/('Market Penetration'!C41*'Market Data'!$C$51))</f>
        <v>117545.88572791572</v>
      </c>
      <c r="Z41" s="461">
        <f>IF('Market Penetration'!D41=0,0,1000*D41*'Market Data'!$E$51/('Market Penetration'!D41*'Market Data'!$C$51))</f>
        <v>121695.16695218475</v>
      </c>
      <c r="AA41" s="695">
        <f>IF('Market Penetration'!E41=0,0,1000*E41*'Market Data'!$E$51/('Market Penetration'!E41*'Market Data'!$C$51))</f>
        <v>0</v>
      </c>
      <c r="AB41" s="461">
        <f>IF('Market Penetration'!F41=0,0,1000*F41*'Market Data'!$E$51/('Market Penetration'!F41*'Market Data'!$C$51))</f>
        <v>0</v>
      </c>
      <c r="AC41" s="690">
        <f>IF('Market Penetration'!G41=0,0,1000*G41*'Market Data'!$E$51/('Market Penetration'!G41*'Market Data'!$C$51))</f>
        <v>0</v>
      </c>
      <c r="AD41" s="460">
        <f>IF('Market Penetration'!H41=0,0,1000*H41*'Market Data'!$O$51/('Market Penetration'!H41*'Market Data'!$M$51))</f>
        <v>40906.976688313196</v>
      </c>
      <c r="AE41" s="461">
        <f>IF('Market Penetration'!I41=0,0,1000*I41*'Market Data'!$O$51/('Market Penetration'!I41*'Market Data'!$M$51))</f>
        <v>93976.398905110545</v>
      </c>
      <c r="AF41" s="461">
        <f>IF('Market Penetration'!J41=0,0,1000*J41*'Market Data'!$O$51/('Market Penetration'!J41*'Market Data'!$M$51))</f>
        <v>99570.763286903399</v>
      </c>
      <c r="AG41" s="461">
        <f>IF('Market Penetration'!K41=0,0,1000*K41*'Market Data'!$O$51/('Market Penetration'!K41*'Market Data'!$M$51))</f>
        <v>0</v>
      </c>
      <c r="AH41" s="461">
        <f>IF('Market Penetration'!L41=0,0,1000*L41*'Market Data'!$O$51/('Market Penetration'!L41*'Market Data'!$M$51))</f>
        <v>216004.47683243261</v>
      </c>
      <c r="AI41" s="462">
        <f>IF('Market Penetration'!M41=0,0,1000*M41*'Market Data'!$O$51/('Market Penetration'!M41*'Market Data'!$M$51))</f>
        <v>0</v>
      </c>
      <c r="AJ41" s="460">
        <f>IF('Market Penetration'!N41=0,0,1000*N41*'Market Data'!$Y$51/('Market Penetration'!N41*'Market Data'!$W$51))</f>
        <v>14582.185404678095</v>
      </c>
      <c r="AK41" s="461">
        <f>IF('Market Penetration'!O41=0,0,1000*O41*'Market Data'!$Y$51/('Market Penetration'!O41*'Market Data'!$W$51))</f>
        <v>76161.550843855512</v>
      </c>
      <c r="AL41" s="461">
        <f>IF('Market Penetration'!P41=0,0,1000*P41*'Market Data'!$Y$51/('Market Penetration'!P41*'Market Data'!$W$51))</f>
        <v>33402.443417337745</v>
      </c>
      <c r="AM41" s="695">
        <f>IF('Market Penetration'!Q41=0,0,1000*Q41*'Market Data'!$Y$51/('Market Penetration'!Q41*'Market Data'!$W$51))</f>
        <v>0</v>
      </c>
      <c r="AN41" s="461">
        <f>IF('Market Penetration'!R41=0,0,1000*R41*'Market Data'!$Y$51/('Market Penetration'!R41*'Market Data'!$W$51))</f>
        <v>126362.25111372404</v>
      </c>
      <c r="AO41" s="690">
        <f>IF('Market Penetration'!S41=0,0,1000*S41*'Market Data'!$Y$51/('Market Penetration'!S41*'Market Data'!$W$51))</f>
        <v>0</v>
      </c>
      <c r="AP41" s="460">
        <f>IF('Market Penetration'!T41=0,0,1000*T41*('Market Data'!$E$51+'Market Data'!$O$51+'Market Data'!$Y$51)/('Market Penetration'!T41*('Market Data'!$C$51+'Market Data'!$M$51+'Market Data'!$W$51)))</f>
        <v>23155.612941615989</v>
      </c>
      <c r="AQ41" s="462">
        <f>IF('Market Penetration'!U41=0,0,1000*U41*('Market Data'!$E$51+'Market Data'!$O$51+'Market Data'!$Y$51)/('Market Penetration'!U41*('Market Data'!$C$51+'Market Data'!$M$51+'Market Data'!$W$51)))</f>
        <v>91814.472004663825</v>
      </c>
    </row>
    <row r="42" spans="1:43" ht="15" x14ac:dyDescent="0.25">
      <c r="A42" s="402">
        <v>2040</v>
      </c>
      <c r="B42" s="426">
        <f t="shared" si="12"/>
        <v>2.4957589592715768E-2</v>
      </c>
      <c r="C42" s="427">
        <f>'7&amp;8 Sleep'!$M109+'7&amp;8 Sleep'!$Z109</f>
        <v>0.5054325223440056</v>
      </c>
      <c r="D42" s="427">
        <f>'7&amp;8 Sleep'!$M161+'7&amp;8 Sleep'!$Z161</f>
        <v>0.46960988806327864</v>
      </c>
      <c r="E42" s="701">
        <f>'7&amp;8 Sleep'!$M213+'7&amp;8 Sleep'!$Z213</f>
        <v>0</v>
      </c>
      <c r="F42" s="427">
        <f>'7&amp;8 Sleep'!$M266+'7&amp;8 Sleep'!$Z266</f>
        <v>0</v>
      </c>
      <c r="G42" s="659">
        <f>'7&amp;8 Sleep'!$M319+'7&amp;8 Sleep'!$Z319</f>
        <v>0</v>
      </c>
      <c r="H42" s="854">
        <f t="shared" si="13"/>
        <v>0.17558259719652247</v>
      </c>
      <c r="I42" s="659">
        <f>'7&amp;8 Day'!$M109+'7&amp;8 Day'!$Z109</f>
        <v>0.43472219054524586</v>
      </c>
      <c r="J42" s="659">
        <f>'7&amp;8 Day'!$M161+'7&amp;8 Day'!$Z161</f>
        <v>0.38807262538384202</v>
      </c>
      <c r="K42" s="659">
        <f>'7&amp;8 Day'!$M213+'7&amp;8 Day'!$Z213</f>
        <v>0</v>
      </c>
      <c r="L42" s="659">
        <f>'7&amp;8 Day'!$M266+'7&amp;8 Day'!$Z266</f>
        <v>1.622586874389648E-3</v>
      </c>
      <c r="M42" s="706">
        <f>'7&amp;8 Day'!$M319+'7&amp;8 Day'!$Z319</f>
        <v>0</v>
      </c>
      <c r="N42" s="426">
        <f t="shared" si="14"/>
        <v>0.19032819585533312</v>
      </c>
      <c r="O42" s="427">
        <f>'7&amp;8 SU'!$M109+'7&amp;8 SU'!$Z109</f>
        <v>0.16917491271956855</v>
      </c>
      <c r="P42" s="427">
        <f>'7&amp;8 SU'!$M161+'7&amp;8 SU'!$Z161</f>
        <v>0.63062041011071091</v>
      </c>
      <c r="Q42" s="701">
        <f>'7&amp;8 SU'!$M213+'7&amp;8 SU'!$Z213</f>
        <v>0</v>
      </c>
      <c r="R42" s="427">
        <f>'7&amp;8 SU'!$M266+'7&amp;8 SU'!$Z266</f>
        <v>9.8764813143874183E-3</v>
      </c>
      <c r="S42" s="659">
        <f>'7&amp;8 SU'!$M319+'7&amp;8 SU'!$Z319</f>
        <v>0</v>
      </c>
      <c r="T42" s="426">
        <f>B42*'Market Data'!$E$52+H42*'Market Data'!$O$52+N42*+N42*'Market Data'!$Y$52</f>
        <v>6.2403053362659618E-2</v>
      </c>
      <c r="U42" s="428">
        <f>SUM(C42:G42)*'Market Data'!$E$52+SUM(I42:M42)*'Market Data'!$O$52+SUM(O42:S42)*+N42*'Market Data'!$Y$52</f>
        <v>0.86498686881598652</v>
      </c>
      <c r="W42" s="402">
        <v>2040</v>
      </c>
      <c r="X42" s="463">
        <f>IF('Market Penetration'!B42=0,0,1000*B42*'Market Data'!$E$51/('Market Penetration'!B42*'Market Data'!$C$51))</f>
        <v>42984.552480765255</v>
      </c>
      <c r="Y42" s="464">
        <f>IF('Market Penetration'!C42=0,0,1000*C42*'Market Data'!$E$51/('Market Penetration'!C42*'Market Data'!$C$51))</f>
        <v>117708.12657592581</v>
      </c>
      <c r="Z42" s="464">
        <f>IF('Market Penetration'!D42=0,0,1000*D42*'Market Data'!$E$51/('Market Penetration'!D42*'Market Data'!$C$51))</f>
        <v>121187.24991691072</v>
      </c>
      <c r="AA42" s="696">
        <f>IF('Market Penetration'!E42=0,0,1000*E42*'Market Data'!$E$51/('Market Penetration'!E42*'Market Data'!$C$51))</f>
        <v>0</v>
      </c>
      <c r="AB42" s="464">
        <f>IF('Market Penetration'!F42=0,0,1000*F42*'Market Data'!$E$51/('Market Penetration'!F42*'Market Data'!$C$51))</f>
        <v>0</v>
      </c>
      <c r="AC42" s="691">
        <f>IF('Market Penetration'!G42=0,0,1000*G42*'Market Data'!$E$51/('Market Penetration'!G42*'Market Data'!$C$51))</f>
        <v>0</v>
      </c>
      <c r="AD42" s="463">
        <f>IF('Market Penetration'!H42=0,0,1000*H42*'Market Data'!$O$51/('Market Penetration'!H42*'Market Data'!$M$51))</f>
        <v>40182.243918956534</v>
      </c>
      <c r="AE42" s="464">
        <f>IF('Market Penetration'!I42=0,0,1000*I42*'Market Data'!$O$51/('Market Penetration'!I42*'Market Data'!$M$51))</f>
        <v>93270.038690928704</v>
      </c>
      <c r="AF42" s="464">
        <f>IF('Market Penetration'!J42=0,0,1000*J42*'Market Data'!$O$51/('Market Penetration'!J42*'Market Data'!$M$51))</f>
        <v>98218.203162662117</v>
      </c>
      <c r="AG42" s="464">
        <f>IF('Market Penetration'!K42=0,0,1000*K42*'Market Data'!$O$51/('Market Penetration'!K42*'Market Data'!$M$51))</f>
        <v>0</v>
      </c>
      <c r="AH42" s="464">
        <f>IF('Market Penetration'!L42=0,0,1000*L42*'Market Data'!$O$51/('Market Penetration'!L42*'Market Data'!$M$51))</f>
        <v>205526.77192694778</v>
      </c>
      <c r="AI42" s="465">
        <f>IF('Market Penetration'!M42=0,0,1000*M42*'Market Data'!$O$51/('Market Penetration'!M42*'Market Data'!$M$51))</f>
        <v>0</v>
      </c>
      <c r="AJ42" s="463">
        <f>IF('Market Penetration'!N42=0,0,1000*N42*'Market Data'!$Y$51/('Market Penetration'!N42*'Market Data'!$W$51))</f>
        <v>14187.935512879478</v>
      </c>
      <c r="AK42" s="464">
        <f>IF('Market Penetration'!O42=0,0,1000*O42*'Market Data'!$Y$51/('Market Penetration'!O42*'Market Data'!$W$51))</f>
        <v>57504.907372133639</v>
      </c>
      <c r="AL42" s="464">
        <f>IF('Market Penetration'!P42=0,0,1000*P42*'Market Data'!$Y$51/('Market Penetration'!P42*'Market Data'!$W$51))</f>
        <v>31153.132411645216</v>
      </c>
      <c r="AM42" s="696">
        <f>IF('Market Penetration'!Q42=0,0,1000*Q42*'Market Data'!$Y$51/('Market Penetration'!Q42*'Market Data'!$W$51))</f>
        <v>0</v>
      </c>
      <c r="AN42" s="464">
        <f>IF('Market Penetration'!R42=0,0,1000*R42*'Market Data'!$Y$51/('Market Penetration'!R42*'Market Data'!$W$51))</f>
        <v>118853.3596383385</v>
      </c>
      <c r="AO42" s="691">
        <f>IF('Market Penetration'!S42=0,0,1000*S42*'Market Data'!$Y$51/('Market Penetration'!S42*'Market Data'!$W$51))</f>
        <v>0</v>
      </c>
      <c r="AP42" s="463">
        <f>IF('Market Penetration'!T42=0,0,1000*T42*('Market Data'!$E$51+'Market Data'!$O$51+'Market Data'!$Y$51)/('Market Penetration'!T42*('Market Data'!$C$51+'Market Data'!$M$51+'Market Data'!$W$51)))</f>
        <v>23565.170088633553</v>
      </c>
      <c r="AQ42" s="465">
        <f>IF('Market Penetration'!U42=0,0,1000*U42*('Market Data'!$E$51+'Market Data'!$O$51+'Market Data'!$Y$51)/('Market Penetration'!U42*('Market Data'!$C$51+'Market Data'!$M$51+'Market Data'!$W$51)))</f>
        <v>89802.422476043794</v>
      </c>
    </row>
    <row r="43" spans="1:43" ht="15" x14ac:dyDescent="0.25">
      <c r="A43" s="403">
        <v>2041</v>
      </c>
      <c r="B43" s="430">
        <f t="shared" si="12"/>
        <v>2.3432785632774955E-2</v>
      </c>
      <c r="C43" s="431">
        <f>'7&amp;8 Sleep'!$M110+'7&amp;8 Sleep'!$Z110</f>
        <v>0.50169327767292693</v>
      </c>
      <c r="D43" s="431">
        <f>'7&amp;8 Sleep'!$M162+'7&amp;8 Sleep'!$Z162</f>
        <v>0.47487393669429812</v>
      </c>
      <c r="E43" s="702">
        <f>'7&amp;8 Sleep'!$M214+'7&amp;8 Sleep'!$Z214</f>
        <v>0</v>
      </c>
      <c r="F43" s="431">
        <f>'7&amp;8 Sleep'!$M267+'7&amp;8 Sleep'!$Z267</f>
        <v>0</v>
      </c>
      <c r="G43" s="660">
        <f>'7&amp;8 Sleep'!$M320+'7&amp;8 Sleep'!$Z320</f>
        <v>0</v>
      </c>
      <c r="H43" s="855">
        <f t="shared" si="13"/>
        <v>0.15575592155816098</v>
      </c>
      <c r="I43" s="660">
        <f>'7&amp;8 Day'!$M110+'7&amp;8 Day'!$Z110</f>
        <v>0.43786189338117859</v>
      </c>
      <c r="J43" s="660">
        <f>'7&amp;8 Day'!$M162+'7&amp;8 Day'!$Z162</f>
        <v>0.39545362829303443</v>
      </c>
      <c r="K43" s="660">
        <f>'7&amp;8 Day'!$M214+'7&amp;8 Day'!$Z214</f>
        <v>0</v>
      </c>
      <c r="L43" s="660">
        <f>'7&amp;8 Day'!$M267+'7&amp;8 Day'!$Z267</f>
        <v>1.0928556767626007E-2</v>
      </c>
      <c r="M43" s="707">
        <f>'7&amp;8 Day'!$M320+'7&amp;8 Day'!$Z320</f>
        <v>0</v>
      </c>
      <c r="N43" s="430">
        <f t="shared" si="14"/>
        <v>0.14016336763899062</v>
      </c>
      <c r="O43" s="431">
        <f>'7&amp;8 SU'!$M110+'7&amp;8 SU'!$Z110</f>
        <v>0.27133754082834144</v>
      </c>
      <c r="P43" s="431">
        <f>'7&amp;8 SU'!$M162+'7&amp;8 SU'!$Z162</f>
        <v>0.57309005859722117</v>
      </c>
      <c r="Q43" s="702">
        <f>'7&amp;8 SU'!$M214+'7&amp;8 SU'!$Z214</f>
        <v>0</v>
      </c>
      <c r="R43" s="431">
        <f>'7&amp;8 SU'!$M267+'7&amp;8 SU'!$Z267</f>
        <v>1.540903293544686E-2</v>
      </c>
      <c r="S43" s="660">
        <f>'7&amp;8 SU'!$M320+'7&amp;8 SU'!$Z320</f>
        <v>0</v>
      </c>
      <c r="T43" s="433">
        <f>B43*'Market Data'!$E$52+H43*'Market Data'!$O$52+N43*+N43*'Market Data'!$Y$52</f>
        <v>5.5101125712191293E-2</v>
      </c>
      <c r="U43" s="434">
        <f>SUM(C43:G43)*'Market Data'!$E$52+SUM(I43:M43)*'Market Data'!$O$52+SUM(O43:S43)*+N43*'Market Data'!$Y$52</f>
        <v>0.86779009457015832</v>
      </c>
      <c r="W43" s="403">
        <v>2041</v>
      </c>
      <c r="X43" s="466">
        <f>IF('Market Penetration'!B43=0,0,1000*B43*'Market Data'!$E$51/('Market Penetration'!B43*'Market Data'!$C$51))</f>
        <v>42053.87571152085</v>
      </c>
      <c r="Y43" s="467">
        <f>IF('Market Penetration'!C43=0,0,1000*C43*'Market Data'!$E$51/('Market Penetration'!C43*'Market Data'!$C$51))</f>
        <v>117844.72870219551</v>
      </c>
      <c r="Z43" s="467">
        <f>IF('Market Penetration'!D43=0,0,1000*D43*'Market Data'!$E$51/('Market Penetration'!D43*'Market Data'!$C$51))</f>
        <v>120673.59801162493</v>
      </c>
      <c r="AA43" s="697">
        <f>IF('Market Penetration'!E43=0,0,1000*E43*'Market Data'!$E$51/('Market Penetration'!E43*'Market Data'!$C$51))</f>
        <v>0</v>
      </c>
      <c r="AB43" s="467">
        <f>IF('Market Penetration'!F43=0,0,1000*F43*'Market Data'!$E$51/('Market Penetration'!F43*'Market Data'!$C$51))</f>
        <v>0</v>
      </c>
      <c r="AC43" s="692">
        <f>IF('Market Penetration'!G43=0,0,1000*G43*'Market Data'!$E$51/('Market Penetration'!G43*'Market Data'!$C$51))</f>
        <v>0</v>
      </c>
      <c r="AD43" s="466">
        <f>IF('Market Penetration'!H43=0,0,1000*H43*'Market Data'!$O$51/('Market Penetration'!H43*'Market Data'!$M$51))</f>
        <v>38599.335137714646</v>
      </c>
      <c r="AE43" s="467">
        <f>IF('Market Penetration'!I43=0,0,1000*I43*'Market Data'!$O$51/('Market Penetration'!I43*'Market Data'!$M$51))</f>
        <v>91644.18499570596</v>
      </c>
      <c r="AF43" s="467">
        <f>IF('Market Penetration'!J43=0,0,1000*J43*'Market Data'!$O$51/('Market Penetration'!J43*'Market Data'!$M$51))</f>
        <v>96092.425680143278</v>
      </c>
      <c r="AG43" s="467">
        <f>IF('Market Penetration'!K43=0,0,1000*K43*'Market Data'!$O$51/('Market Penetration'!K43*'Market Data'!$M$51))</f>
        <v>0</v>
      </c>
      <c r="AH43" s="467">
        <f>IF('Market Penetration'!L43=0,0,1000*L43*'Market Data'!$O$51/('Market Penetration'!L43*'Market Data'!$M$51))</f>
        <v>178610.56065347226</v>
      </c>
      <c r="AI43" s="860">
        <f>IF('Market Penetration'!M43=0,0,1000*M43*'Market Data'!$O$51/('Market Penetration'!M43*'Market Data'!$M$51))</f>
        <v>0</v>
      </c>
      <c r="AJ43" s="466">
        <f>IF('Market Penetration'!N43=0,0,1000*N43*'Market Data'!$Y$51/('Market Penetration'!N43*'Market Data'!$W$51))</f>
        <v>13607.914440390556</v>
      </c>
      <c r="AK43" s="467">
        <f>IF('Market Penetration'!O43=0,0,1000*O43*'Market Data'!$Y$51/('Market Penetration'!O43*'Market Data'!$W$51))</f>
        <v>44417.694883007607</v>
      </c>
      <c r="AL43" s="467">
        <f>IF('Market Penetration'!P43=0,0,1000*P43*'Market Data'!$Y$51/('Market Penetration'!P43*'Market Data'!$W$51))</f>
        <v>28469.851905057683</v>
      </c>
      <c r="AM43" s="697">
        <f>IF('Market Penetration'!Q43=0,0,1000*Q43*'Market Data'!$Y$51/('Market Penetration'!Q43*'Market Data'!$W$51))</f>
        <v>0</v>
      </c>
      <c r="AN43" s="467">
        <f>IF('Market Penetration'!R43=0,0,1000*R43*'Market Data'!$Y$51/('Market Penetration'!R43*'Market Data'!$W$51))</f>
        <v>107165.61524896702</v>
      </c>
      <c r="AO43" s="692">
        <f>IF('Market Penetration'!S43=0,0,1000*S43*'Market Data'!$Y$51/('Market Penetration'!S43*'Market Data'!$W$51))</f>
        <v>0</v>
      </c>
      <c r="AP43" s="468">
        <f>IF('Market Penetration'!T43=0,0,1000*T43*('Market Data'!$E$51+'Market Data'!$O$51+'Market Data'!$Y$51)/('Market Penetration'!T43*('Market Data'!$C$51+'Market Data'!$M$51+'Market Data'!$W$51)))</f>
        <v>24249.719619919772</v>
      </c>
      <c r="AQ43" s="469">
        <f>IF('Market Penetration'!U43=0,0,1000*U43*('Market Data'!$E$51+'Market Data'!$O$51+'Market Data'!$Y$51)/('Market Penetration'!U43*('Market Data'!$C$51+'Market Data'!$M$51+'Market Data'!$W$51)))</f>
        <v>86709.829213765232</v>
      </c>
    </row>
    <row r="44" spans="1:43" ht="15" x14ac:dyDescent="0.25">
      <c r="A44" s="403">
        <v>2042</v>
      </c>
      <c r="B44" s="423">
        <f t="shared" si="12"/>
        <v>2.3869904138561604E-2</v>
      </c>
      <c r="C44" s="424">
        <f>'7&amp;8 Sleep'!$M111+'7&amp;8 Sleep'!$Z111</f>
        <v>0.49773324665922403</v>
      </c>
      <c r="D44" s="424">
        <f>'7&amp;8 Sleep'!$M163+'7&amp;8 Sleep'!$Z163</f>
        <v>0.4783126342319961</v>
      </c>
      <c r="E44" s="700">
        <f>'7&amp;8 Sleep'!$M215+'7&amp;8 Sleep'!$Z215</f>
        <v>0</v>
      </c>
      <c r="F44" s="424">
        <f>'7&amp;8 Sleep'!$M268+'7&amp;8 Sleep'!$Z268</f>
        <v>8.4214970218314343E-5</v>
      </c>
      <c r="G44" s="658">
        <f>'7&amp;8 Sleep'!$M321+'7&amp;8 Sleep'!$Z321</f>
        <v>0</v>
      </c>
      <c r="H44" s="853">
        <f t="shared" si="13"/>
        <v>0.14221812943748269</v>
      </c>
      <c r="I44" s="658">
        <f>'7&amp;8 Day'!$M111+'7&amp;8 Day'!$Z111</f>
        <v>0.42483585679512359</v>
      </c>
      <c r="J44" s="658">
        <f>'7&amp;8 Day'!$M163+'7&amp;8 Day'!$Z163</f>
        <v>0.3914440450963409</v>
      </c>
      <c r="K44" s="658">
        <f>'7&amp;8 Day'!$M215+'7&amp;8 Day'!$Z215</f>
        <v>0</v>
      </c>
      <c r="L44" s="658">
        <f>'7&amp;8 Day'!$M268+'7&amp;8 Day'!$Z268</f>
        <v>4.1501968671052776E-2</v>
      </c>
      <c r="M44" s="705">
        <f>'7&amp;8 Day'!$M321+'7&amp;8 Day'!$Z321</f>
        <v>0</v>
      </c>
      <c r="N44" s="423">
        <f t="shared" si="14"/>
        <v>8.7114556729466219E-2</v>
      </c>
      <c r="O44" s="424">
        <f>'7&amp;8 SU'!$M111+'7&amp;8 SU'!$Z111</f>
        <v>0.34351655332766651</v>
      </c>
      <c r="P44" s="424">
        <f>'7&amp;8 SU'!$M163+'7&amp;8 SU'!$Z163</f>
        <v>0.54385717104136289</v>
      </c>
      <c r="Q44" s="700">
        <f>'7&amp;8 SU'!$M215+'7&amp;8 SU'!$Z215</f>
        <v>2.1422942840650821E-5</v>
      </c>
      <c r="R44" s="424">
        <f>'7&amp;8 SU'!$M268+'7&amp;8 SU'!$Z268</f>
        <v>2.54902959586637E-2</v>
      </c>
      <c r="S44" s="658">
        <f>'7&amp;8 SU'!$M321+'7&amp;8 SU'!$Z321</f>
        <v>0</v>
      </c>
      <c r="T44" s="423">
        <f>B44*'Market Data'!$E$52+H44*'Market Data'!$O$52+N44*+N44*'Market Data'!$Y$52</f>
        <v>5.1037383483946153E-2</v>
      </c>
      <c r="U44" s="425">
        <f>SUM(C44:G44)*'Market Data'!$E$52+SUM(I44:M44)*'Market Data'!$O$52+SUM(O44:S44)*+N44*'Market Data'!$Y$52</f>
        <v>0.86709650392753734</v>
      </c>
      <c r="W44" s="403">
        <v>2042</v>
      </c>
      <c r="X44" s="460">
        <f>IF('Market Penetration'!B44=0,0,1000*B44*'Market Data'!$E$51/('Market Penetration'!B44*'Market Data'!$C$51))</f>
        <v>42672.036369544418</v>
      </c>
      <c r="Y44" s="461">
        <f>IF('Market Penetration'!C44=0,0,1000*C44*'Market Data'!$E$51/('Market Penetration'!C44*'Market Data'!$C$51))</f>
        <v>118244.27519876804</v>
      </c>
      <c r="Z44" s="461">
        <f>IF('Market Penetration'!D44=0,0,1000*D44*'Market Data'!$E$51/('Market Penetration'!D44*'Market Data'!$C$51))</f>
        <v>120163.40628753258</v>
      </c>
      <c r="AA44" s="695">
        <f>IF('Market Penetration'!E44=0,0,1000*E44*'Market Data'!$E$51/('Market Penetration'!E44*'Market Data'!$C$51))</f>
        <v>0</v>
      </c>
      <c r="AB44" s="461">
        <f>IF('Market Penetration'!F44=0,0,1000*F44*'Market Data'!$E$51/('Market Penetration'!F44*'Market Data'!$C$51))</f>
        <v>222372.66400609436</v>
      </c>
      <c r="AC44" s="690">
        <f>IF('Market Penetration'!G44=0,0,1000*G44*'Market Data'!$E$51/('Market Penetration'!G44*'Market Data'!$C$51))</f>
        <v>0</v>
      </c>
      <c r="AD44" s="460">
        <f>IF('Market Penetration'!H44=0,0,1000*H44*'Market Data'!$O$51/('Market Penetration'!H44*'Market Data'!$M$51))</f>
        <v>37549.786517885812</v>
      </c>
      <c r="AE44" s="461">
        <f>IF('Market Penetration'!I44=0,0,1000*I44*'Market Data'!$O$51/('Market Penetration'!I44*'Market Data'!$M$51))</f>
        <v>89811.926308236943</v>
      </c>
      <c r="AF44" s="461">
        <f>IF('Market Penetration'!J44=0,0,1000*J44*'Market Data'!$O$51/('Market Penetration'!J44*'Market Data'!$M$51))</f>
        <v>93346.191667236359</v>
      </c>
      <c r="AG44" s="461">
        <f>IF('Market Penetration'!K44=0,0,1000*K44*'Market Data'!$O$51/('Market Penetration'!K44*'Market Data'!$M$51))</f>
        <v>0</v>
      </c>
      <c r="AH44" s="461">
        <f>IF('Market Penetration'!L44=0,0,1000*L44*'Market Data'!$O$51/('Market Penetration'!L44*'Market Data'!$M$51))</f>
        <v>149087.62024793951</v>
      </c>
      <c r="AI44" s="462">
        <f>IF('Market Penetration'!M44=0,0,1000*M44*'Market Data'!$O$51/('Market Penetration'!M44*'Market Data'!$M$51))</f>
        <v>0</v>
      </c>
      <c r="AJ44" s="460">
        <f>IF('Market Penetration'!N44=0,0,1000*N44*'Market Data'!$Y$51/('Market Penetration'!N44*'Market Data'!$W$51))</f>
        <v>13080.562192749487</v>
      </c>
      <c r="AK44" s="461">
        <f>IF('Market Penetration'!O44=0,0,1000*O44*'Market Data'!$Y$51/('Market Penetration'!O44*'Market Data'!$W$51))</f>
        <v>39258.534184806347</v>
      </c>
      <c r="AL44" s="461">
        <f>IF('Market Penetration'!P44=0,0,1000*P44*'Market Data'!$Y$51/('Market Penetration'!P44*'Market Data'!$W$51))</f>
        <v>25895.433815857923</v>
      </c>
      <c r="AM44" s="695">
        <f>IF('Market Penetration'!Q44=0,0,1000*Q44*'Market Data'!$Y$51/('Market Penetration'!Q44*'Market Data'!$W$51))</f>
        <v>71513.687442424591</v>
      </c>
      <c r="AN44" s="461">
        <f>IF('Market Penetration'!R44=0,0,1000*R44*'Market Data'!$Y$51/('Market Penetration'!R44*'Market Data'!$W$51))</f>
        <v>94372.515341325634</v>
      </c>
      <c r="AO44" s="690">
        <f>IF('Market Penetration'!S44=0,0,1000*S44*'Market Data'!$Y$51/('Market Penetration'!S44*'Market Data'!$W$51))</f>
        <v>0</v>
      </c>
      <c r="AP44" s="460">
        <f>IF('Market Penetration'!T44=0,0,1000*T44*('Market Data'!$E$51+'Market Data'!$O$51+'Market Data'!$Y$51)/('Market Penetration'!T44*('Market Data'!$C$51+'Market Data'!$M$51+'Market Data'!$W$51)))</f>
        <v>27042.435229283121</v>
      </c>
      <c r="AQ44" s="462">
        <f>IF('Market Penetration'!U44=0,0,1000*U44*('Market Data'!$E$51+'Market Data'!$O$51+'Market Data'!$Y$51)/('Market Penetration'!U44*('Market Data'!$C$51+'Market Data'!$M$51+'Market Data'!$W$51)))</f>
        <v>83431.551521015936</v>
      </c>
    </row>
    <row r="45" spans="1:43" ht="15" x14ac:dyDescent="0.25">
      <c r="A45" s="403">
        <v>2043</v>
      </c>
      <c r="B45" s="423">
        <f t="shared" si="12"/>
        <v>2.1767385742500589E-2</v>
      </c>
      <c r="C45" s="424">
        <f>'7&amp;8 Sleep'!$M112+'7&amp;8 Sleep'!$Z112</f>
        <v>0.49256124684003438</v>
      </c>
      <c r="D45" s="424">
        <f>'7&amp;8 Sleep'!$M164+'7&amp;8 Sleep'!$Z164</f>
        <v>0.47836821646620853</v>
      </c>
      <c r="E45" s="700">
        <f>'7&amp;8 Sleep'!$M216+'7&amp;8 Sleep'!$Z216</f>
        <v>0</v>
      </c>
      <c r="F45" s="424">
        <f>'7&amp;8 Sleep'!$M269+'7&amp;8 Sleep'!$Z269</f>
        <v>7.3031509512565158E-3</v>
      </c>
      <c r="G45" s="658">
        <f>'7&amp;8 Sleep'!$M322+'7&amp;8 Sleep'!$Z322</f>
        <v>0</v>
      </c>
      <c r="H45" s="853">
        <f t="shared" si="13"/>
        <v>0.13029392192404088</v>
      </c>
      <c r="I45" s="658">
        <f>'7&amp;8 Day'!$M112+'7&amp;8 Day'!$Z112</f>
        <v>0.40402984731193337</v>
      </c>
      <c r="J45" s="658">
        <f>'7&amp;8 Day'!$M164+'7&amp;8 Day'!$Z164</f>
        <v>0.37947042443791063</v>
      </c>
      <c r="K45" s="658">
        <f>'7&amp;8 Day'!$M216+'7&amp;8 Day'!$Z216</f>
        <v>0</v>
      </c>
      <c r="L45" s="658">
        <f>'7&amp;8 Day'!$M269+'7&amp;8 Day'!$Z269</f>
        <v>8.6205806326115131E-2</v>
      </c>
      <c r="M45" s="705">
        <f>'7&amp;8 Day'!$M322+'7&amp;8 Day'!$Z322</f>
        <v>0</v>
      </c>
      <c r="N45" s="423">
        <f t="shared" si="14"/>
        <v>4.3197228021847556E-2</v>
      </c>
      <c r="O45" s="424">
        <f>'7&amp;8 SU'!$M112+'7&amp;8 SU'!$Z112</f>
        <v>0.39659037785086165</v>
      </c>
      <c r="P45" s="424">
        <f>'7&amp;8 SU'!$M164+'7&amp;8 SU'!$Z164</f>
        <v>0.51843551101347329</v>
      </c>
      <c r="Q45" s="700">
        <f>'7&amp;8 SU'!$M216+'7&amp;8 SU'!$Z216</f>
        <v>7.5063125817791424E-4</v>
      </c>
      <c r="R45" s="424">
        <f>'7&amp;8 SU'!$M269+'7&amp;8 SU'!$Z269</f>
        <v>4.1026251855639566E-2</v>
      </c>
      <c r="S45" s="658">
        <f>'7&amp;8 SU'!$M322+'7&amp;8 SU'!$Z322</f>
        <v>0</v>
      </c>
      <c r="T45" s="423">
        <f>B45*'Market Data'!$E$52+H45*'Market Data'!$O$52+N45*+N45*'Market Data'!$Y$52</f>
        <v>4.6234399540618351E-2</v>
      </c>
      <c r="U45" s="425">
        <f>SUM(C45:G45)*'Market Data'!$E$52+SUM(I45:M45)*'Market Data'!$O$52+SUM(O45:S45)*+N45*'Market Data'!$Y$52</f>
        <v>0.8679610517800409</v>
      </c>
      <c r="W45" s="403">
        <v>2043</v>
      </c>
      <c r="X45" s="460">
        <f>IF('Market Penetration'!B45=0,0,1000*B45*'Market Data'!$E$51/('Market Penetration'!B45*'Market Data'!$C$51))</f>
        <v>41236.338240394092</v>
      </c>
      <c r="Y45" s="461">
        <f>IF('Market Penetration'!C45=0,0,1000*C45*'Market Data'!$E$51/('Market Penetration'!C45*'Market Data'!$C$51))</f>
        <v>117888.14811884692</v>
      </c>
      <c r="Z45" s="461">
        <f>IF('Market Penetration'!D45=0,0,1000*D45*'Market Data'!$E$51/('Market Penetration'!D45*'Market Data'!$C$51))</f>
        <v>119388.17474786601</v>
      </c>
      <c r="AA45" s="695">
        <f>IF('Market Penetration'!E45=0,0,1000*E45*'Market Data'!$E$51/('Market Penetration'!E45*'Market Data'!$C$51))</f>
        <v>0</v>
      </c>
      <c r="AB45" s="461">
        <f>IF('Market Penetration'!F45=0,0,1000*F45*'Market Data'!$E$51/('Market Penetration'!F45*'Market Data'!$C$51))</f>
        <v>198813.40030482376</v>
      </c>
      <c r="AC45" s="690">
        <f>IF('Market Penetration'!G45=0,0,1000*G45*'Market Data'!$E$51/('Market Penetration'!G45*'Market Data'!$C$51))</f>
        <v>0</v>
      </c>
      <c r="AD45" s="460">
        <f>IF('Market Penetration'!H45=0,0,1000*H45*'Market Data'!$O$51/('Market Penetration'!H45*'Market Data'!$M$51))</f>
        <v>36590.223901634694</v>
      </c>
      <c r="AE45" s="461">
        <f>IF('Market Penetration'!I45=0,0,1000*I45*'Market Data'!$O$51/('Market Penetration'!I45*'Market Data'!$M$51))</f>
        <v>88024.996578046936</v>
      </c>
      <c r="AF45" s="461">
        <f>IF('Market Penetration'!J45=0,0,1000*J45*'Market Data'!$O$51/('Market Penetration'!J45*'Market Data'!$M$51))</f>
        <v>90773.44735510493</v>
      </c>
      <c r="AG45" s="461">
        <f>IF('Market Penetration'!K45=0,0,1000*K45*'Market Data'!$O$51/('Market Penetration'!K45*'Market Data'!$M$51))</f>
        <v>0</v>
      </c>
      <c r="AH45" s="461">
        <f>IF('Market Penetration'!L45=0,0,1000*L45*'Market Data'!$O$51/('Market Penetration'!L45*'Market Data'!$M$51))</f>
        <v>130946.98840743383</v>
      </c>
      <c r="AI45" s="462">
        <f>IF('Market Penetration'!M45=0,0,1000*M45*'Market Data'!$O$51/('Market Penetration'!M45*'Market Data'!$M$51))</f>
        <v>0</v>
      </c>
      <c r="AJ45" s="460">
        <f>IF('Market Penetration'!N45=0,0,1000*N45*'Market Data'!$Y$51/('Market Penetration'!N45*'Market Data'!$W$51))</f>
        <v>12426.37239654812</v>
      </c>
      <c r="AK45" s="461">
        <f>IF('Market Penetration'!O45=0,0,1000*O45*'Market Data'!$Y$51/('Market Penetration'!O45*'Market Data'!$W$51))</f>
        <v>33165.928649809975</v>
      </c>
      <c r="AL45" s="461">
        <f>IF('Market Penetration'!P45=0,0,1000*P45*'Market Data'!$Y$51/('Market Penetration'!P45*'Market Data'!$W$51))</f>
        <v>24998.704145357864</v>
      </c>
      <c r="AM45" s="695">
        <f>IF('Market Penetration'!Q45=0,0,1000*Q45*'Market Data'!$Y$51/('Market Penetration'!Q45*'Market Data'!$W$51))</f>
        <v>70351.135460889258</v>
      </c>
      <c r="AN45" s="461">
        <f>IF('Market Penetration'!R45=0,0,1000*R45*'Market Data'!$Y$51/('Market Penetration'!R45*'Market Data'!$W$51))</f>
        <v>82179.556632107531</v>
      </c>
      <c r="AO45" s="690">
        <f>IF('Market Penetration'!S45=0,0,1000*S45*'Market Data'!$Y$51/('Market Penetration'!S45*'Market Data'!$W$51))</f>
        <v>0</v>
      </c>
      <c r="AP45" s="460">
        <f>IF('Market Penetration'!T45=0,0,1000*T45*('Market Data'!$E$51+'Market Data'!$O$51+'Market Data'!$Y$51)/('Market Penetration'!T45*('Market Data'!$C$51+'Market Data'!$M$51+'Market Data'!$W$51)))</f>
        <v>30298.940825926977</v>
      </c>
      <c r="AQ45" s="462">
        <f>IF('Market Penetration'!U45=0,0,1000*U45*('Market Data'!$E$51+'Market Data'!$O$51+'Market Data'!$Y$51)/('Market Penetration'!U45*('Market Data'!$C$51+'Market Data'!$M$51+'Market Data'!$W$51)))</f>
        <v>80708.468097615914</v>
      </c>
    </row>
    <row r="46" spans="1:43" ht="15" x14ac:dyDescent="0.25">
      <c r="A46" s="403">
        <v>2044</v>
      </c>
      <c r="B46" s="423">
        <f t="shared" si="12"/>
        <v>2.248920041591207E-2</v>
      </c>
      <c r="C46" s="424">
        <f>'7&amp;8 Sleep'!$M113+'7&amp;8 Sleep'!$Z113</f>
        <v>0.47110531919589282</v>
      </c>
      <c r="D46" s="424">
        <f>'7&amp;8 Sleep'!$M165+'7&amp;8 Sleep'!$Z165</f>
        <v>0.45991136714020608</v>
      </c>
      <c r="E46" s="700">
        <f>'7&amp;8 Sleep'!$M217+'7&amp;8 Sleep'!$Z217</f>
        <v>0</v>
      </c>
      <c r="F46" s="424">
        <f>'7&amp;8 Sleep'!$M270+'7&amp;8 Sleep'!$Z270</f>
        <v>4.6494113247989036E-2</v>
      </c>
      <c r="G46" s="658">
        <f>'7&amp;8 Sleep'!$M323+'7&amp;8 Sleep'!$Z323</f>
        <v>0</v>
      </c>
      <c r="H46" s="853">
        <f t="shared" si="13"/>
        <v>0.12012613933770033</v>
      </c>
      <c r="I46" s="658">
        <f>'7&amp;8 Day'!$M113+'7&amp;8 Day'!$Z113</f>
        <v>0.38016719644447733</v>
      </c>
      <c r="J46" s="658">
        <f>'7&amp;8 Day'!$M165+'7&amp;8 Day'!$Z165</f>
        <v>0.36044288527164037</v>
      </c>
      <c r="K46" s="658">
        <f>'7&amp;8 Day'!$M217+'7&amp;8 Day'!$Z217</f>
        <v>1.4547479093124974E-3</v>
      </c>
      <c r="L46" s="658">
        <f>'7&amp;8 Day'!$M270+'7&amp;8 Day'!$Z270</f>
        <v>0.13780903103686945</v>
      </c>
      <c r="M46" s="705">
        <f>'7&amp;8 Day'!$M323+'7&amp;8 Day'!$Z323</f>
        <v>0</v>
      </c>
      <c r="N46" s="423">
        <f t="shared" si="14"/>
        <v>1.4952818966953552E-2</v>
      </c>
      <c r="O46" s="424">
        <f>'7&amp;8 SU'!$M113+'7&amp;8 SU'!$Z113</f>
        <v>0.42634670581697098</v>
      </c>
      <c r="P46" s="424">
        <f>'7&amp;8 SU'!$M165+'7&amp;8 SU'!$Z165</f>
        <v>0.49047647678824285</v>
      </c>
      <c r="Q46" s="700">
        <f>'7&amp;8 SU'!$M217+'7&amp;8 SU'!$Z217</f>
        <v>5.938633775050421E-3</v>
      </c>
      <c r="R46" s="424">
        <f>'7&amp;8 SU'!$M270+'7&amp;8 SU'!$Z270</f>
        <v>6.2285364652782262E-2</v>
      </c>
      <c r="S46" s="658">
        <f>'7&amp;8 SU'!$M323+'7&amp;8 SU'!$Z323</f>
        <v>0</v>
      </c>
      <c r="T46" s="423">
        <f>B46*'Market Data'!$E$52+H46*'Market Data'!$O$52+N46*+N46*'Market Data'!$Y$52</f>
        <v>4.4110083760840947E-2</v>
      </c>
      <c r="U46" s="425">
        <f>SUM(C46:G46)*'Market Data'!$E$52+SUM(I46:M46)*'Market Data'!$O$52+SUM(O46:S46)*+N46*'Market Data'!$Y$52</f>
        <v>0.86755245394099656</v>
      </c>
      <c r="W46" s="403">
        <v>2044</v>
      </c>
      <c r="X46" s="460">
        <f>IF('Market Penetration'!B46=0,0,1000*B46*'Market Data'!$E$51/('Market Penetration'!B46*'Market Data'!$C$51))</f>
        <v>42119.680938235178</v>
      </c>
      <c r="Y46" s="461">
        <f>IF('Market Penetration'!C46=0,0,1000*C46*'Market Data'!$E$51/('Market Penetration'!C46*'Market Data'!$C$51))</f>
        <v>117034.7370024979</v>
      </c>
      <c r="Z46" s="461">
        <f>IF('Market Penetration'!D46=0,0,1000*D46*'Market Data'!$E$51/('Market Penetration'!D46*'Market Data'!$C$51))</f>
        <v>118054.36288932999</v>
      </c>
      <c r="AA46" s="695">
        <f>IF('Market Penetration'!E46=0,0,1000*E46*'Market Data'!$E$51/('Market Penetration'!E46*'Market Data'!$C$51))</f>
        <v>0</v>
      </c>
      <c r="AB46" s="461">
        <f>IF('Market Penetration'!F46=0,0,1000*F46*'Market Data'!$E$51/('Market Penetration'!F46*'Market Data'!$C$51))</f>
        <v>157820.63887026592</v>
      </c>
      <c r="AC46" s="690">
        <f>IF('Market Penetration'!G46=0,0,1000*G46*'Market Data'!$E$51/('Market Penetration'!G46*'Market Data'!$C$51))</f>
        <v>0</v>
      </c>
      <c r="AD46" s="460">
        <f>IF('Market Penetration'!H46=0,0,1000*H46*'Market Data'!$O$51/('Market Penetration'!H46*'Market Data'!$M$51))</f>
        <v>35726.814756552914</v>
      </c>
      <c r="AE46" s="461">
        <f>IF('Market Penetration'!I46=0,0,1000*I46*'Market Data'!$O$51/('Market Penetration'!I46*'Market Data'!$M$51))</f>
        <v>86685.097826649129</v>
      </c>
      <c r="AF46" s="461">
        <f>IF('Market Penetration'!J46=0,0,1000*J46*'Market Data'!$O$51/('Market Penetration'!J46*'Market Data'!$M$51))</f>
        <v>88928.276046277999</v>
      </c>
      <c r="AG46" s="461">
        <f>IF('Market Penetration'!K46=0,0,1000*K46*'Market Data'!$O$51/('Market Penetration'!K46*'Market Data'!$M$51))</f>
        <v>70768.481631958173</v>
      </c>
      <c r="AH46" s="461">
        <f>IF('Market Penetration'!L46=0,0,1000*L46*'Market Data'!$O$51/('Market Penetration'!L46*'Market Data'!$M$51))</f>
        <v>118000.33183817145</v>
      </c>
      <c r="AI46" s="462">
        <f>IF('Market Penetration'!M46=0,0,1000*M46*'Market Data'!$O$51/('Market Penetration'!M46*'Market Data'!$M$51))</f>
        <v>0</v>
      </c>
      <c r="AJ46" s="460">
        <f>IF('Market Penetration'!N46=0,0,1000*N46*'Market Data'!$Y$51/('Market Penetration'!N46*'Market Data'!$W$51))</f>
        <v>12375.679934673422</v>
      </c>
      <c r="AK46" s="461">
        <f>IF('Market Penetration'!O46=0,0,1000*O46*'Market Data'!$Y$51/('Market Penetration'!O46*'Market Data'!$W$51))</f>
        <v>28881.303126160838</v>
      </c>
      <c r="AL46" s="461">
        <f>IF('Market Penetration'!P46=0,0,1000*P46*'Market Data'!$Y$51/('Market Penetration'!P46*'Market Data'!$W$51))</f>
        <v>24852.238675802313</v>
      </c>
      <c r="AM46" s="695">
        <f>IF('Market Penetration'!Q46=0,0,1000*Q46*'Market Data'!$Y$51/('Market Penetration'!Q46*'Market Data'!$W$51))</f>
        <v>64754.802401262095</v>
      </c>
      <c r="AN46" s="461">
        <f>IF('Market Penetration'!R46=0,0,1000*R46*'Market Data'!$Y$51/('Market Penetration'!R46*'Market Data'!$W$51))</f>
        <v>70401.065639914625</v>
      </c>
      <c r="AO46" s="690">
        <f>IF('Market Penetration'!S46=0,0,1000*S46*'Market Data'!$Y$51/('Market Penetration'!S46*'Market Data'!$W$51))</f>
        <v>0</v>
      </c>
      <c r="AP46" s="460">
        <f>IF('Market Penetration'!T46=0,0,1000*T46*('Market Data'!$E$51+'Market Data'!$O$51+'Market Data'!$Y$51)/('Market Penetration'!T46*('Market Data'!$C$51+'Market Data'!$M$51+'Market Data'!$W$51)))</f>
        <v>34499.309175127484</v>
      </c>
      <c r="AQ46" s="462">
        <f>IF('Market Penetration'!U46=0,0,1000*U46*('Market Data'!$E$51+'Market Data'!$O$51+'Market Data'!$Y$51)/('Market Penetration'!U46*('Market Data'!$C$51+'Market Data'!$M$51+'Market Data'!$W$51)))</f>
        <v>78856.667812755317</v>
      </c>
    </row>
    <row r="47" spans="1:43" ht="15" x14ac:dyDescent="0.25">
      <c r="A47" s="402">
        <v>2045</v>
      </c>
      <c r="B47" s="426">
        <f t="shared" si="12"/>
        <v>2.2614696216418317E-2</v>
      </c>
      <c r="C47" s="427">
        <f>'7&amp;8 Sleep'!$M114+'7&amp;8 Sleep'!$Z114</f>
        <v>0.42958125682857295</v>
      </c>
      <c r="D47" s="427">
        <f>'7&amp;8 Sleep'!$M166+'7&amp;8 Sleep'!$Z166</f>
        <v>0.42154359083611259</v>
      </c>
      <c r="E47" s="701">
        <f>'7&amp;8 Sleep'!$M218+'7&amp;8 Sleep'!$Z218</f>
        <v>3.7681145724110859E-3</v>
      </c>
      <c r="F47" s="427">
        <f>'7&amp;8 Sleep'!$M271+'7&amp;8 Sleep'!$Z271</f>
        <v>0.12249234154648506</v>
      </c>
      <c r="G47" s="659">
        <f>'7&amp;8 Sleep'!$M324+'7&amp;8 Sleep'!$Z324</f>
        <v>0</v>
      </c>
      <c r="H47" s="854">
        <f t="shared" si="13"/>
        <v>0.11027161693466525</v>
      </c>
      <c r="I47" s="659">
        <f>'7&amp;8 Day'!$M114+'7&amp;8 Day'!$Z114</f>
        <v>0.35661673898862034</v>
      </c>
      <c r="J47" s="659">
        <f>'7&amp;8 Day'!$M166+'7&amp;8 Day'!$Z166</f>
        <v>0.33900250554501876</v>
      </c>
      <c r="K47" s="659">
        <f>'7&amp;8 Day'!$M218+'7&amp;8 Day'!$Z218</f>
        <v>1.3386017369575676E-2</v>
      </c>
      <c r="L47" s="659">
        <f>'7&amp;8 Day'!$M271+'7&amp;8 Day'!$Z271</f>
        <v>0.18072312116211997</v>
      </c>
      <c r="M47" s="706">
        <f>'7&amp;8 Day'!$M324+'7&amp;8 Day'!$Z324</f>
        <v>0</v>
      </c>
      <c r="N47" s="426">
        <f t="shared" si="14"/>
        <v>2.2958686188718769E-3</v>
      </c>
      <c r="O47" s="427">
        <f>'7&amp;8 SU'!$M114+'7&amp;8 SU'!$Z114</f>
        <v>0.42580920037085052</v>
      </c>
      <c r="P47" s="427">
        <f>'7&amp;8 SU'!$M166+'7&amp;8 SU'!$Z166</f>
        <v>0.4579843845419122</v>
      </c>
      <c r="Q47" s="701">
        <f>'7&amp;8 SU'!$M218+'7&amp;8 SU'!$Z218</f>
        <v>2.2038732412626823E-2</v>
      </c>
      <c r="R47" s="427">
        <f>'7&amp;8 SU'!$M271+'7&amp;8 SU'!$Z271</f>
        <v>9.1871814055738577E-2</v>
      </c>
      <c r="S47" s="659">
        <f>'7&amp;8 SU'!$M324+'7&amp;8 SU'!$Z324</f>
        <v>0</v>
      </c>
      <c r="T47" s="426">
        <f>B47*'Market Data'!$E$52+H47*'Market Data'!$O$52+N47*+N47*'Market Data'!$Y$52</f>
        <v>4.1790657080067427E-2</v>
      </c>
      <c r="U47" s="428">
        <f>SUM(C47:G47)*'Market Data'!$E$52+SUM(I47:M47)*'Market Data'!$O$52+SUM(O47:S47)*+N47*'Market Data'!$Y$52</f>
        <v>0.86873682547343611</v>
      </c>
      <c r="W47" s="402">
        <v>2045</v>
      </c>
      <c r="X47" s="463">
        <f>IF('Market Penetration'!B47=0,0,1000*B47*'Market Data'!$E$51/('Market Penetration'!B47*'Market Data'!$C$51))</f>
        <v>42380.901458030989</v>
      </c>
      <c r="Y47" s="464">
        <f>IF('Market Penetration'!C47=0,0,1000*C47*'Market Data'!$E$51/('Market Penetration'!C47*'Market Data'!$C$51))</f>
        <v>116072.97336039356</v>
      </c>
      <c r="Z47" s="464">
        <f>IF('Market Penetration'!D47=0,0,1000*D47*'Market Data'!$E$51/('Market Penetration'!D47*'Market Data'!$C$51))</f>
        <v>116863.26206702544</v>
      </c>
      <c r="AA47" s="696">
        <f>IF('Market Penetration'!E47=0,0,1000*E47*'Market Data'!$E$51/('Market Penetration'!E47*'Market Data'!$C$51))</f>
        <v>123558.54189963592</v>
      </c>
      <c r="AB47" s="464">
        <f>IF('Market Penetration'!F47=0,0,1000*F47*'Market Data'!$E$51/('Market Penetration'!F47*'Market Data'!$C$51))</f>
        <v>139603.76790576326</v>
      </c>
      <c r="AC47" s="691">
        <f>IF('Market Penetration'!G47=0,0,1000*G47*'Market Data'!$E$51/('Market Penetration'!G47*'Market Data'!$C$51))</f>
        <v>0</v>
      </c>
      <c r="AD47" s="463">
        <f>IF('Market Penetration'!H47=0,0,1000*H47*'Market Data'!$O$51/('Market Penetration'!H47*'Market Data'!$M$51))</f>
        <v>34691.909992319888</v>
      </c>
      <c r="AE47" s="464">
        <f>IF('Market Penetration'!I47=0,0,1000*I47*'Market Data'!$O$51/('Market Penetration'!I47*'Market Data'!$M$51))</f>
        <v>86303.178403272075</v>
      </c>
      <c r="AF47" s="464">
        <f>IF('Market Penetration'!J47=0,0,1000*J47*'Market Data'!$O$51/('Market Penetration'!J47*'Market Data'!$M$51))</f>
        <v>88266.576981916034</v>
      </c>
      <c r="AG47" s="464">
        <f>IF('Market Penetration'!K47=0,0,1000*K47*'Market Data'!$O$51/('Market Penetration'!K47*'Market Data'!$M$51))</f>
        <v>67202.067516968324</v>
      </c>
      <c r="AH47" s="464">
        <f>IF('Market Penetration'!L47=0,0,1000*L47*'Market Data'!$O$51/('Market Penetration'!L47*'Market Data'!$M$51))</f>
        <v>110265.39289884278</v>
      </c>
      <c r="AI47" s="465">
        <f>IF('Market Penetration'!M47=0,0,1000*M47*'Market Data'!$O$51/('Market Penetration'!M47*'Market Data'!$M$51))</f>
        <v>0</v>
      </c>
      <c r="AJ47" s="463">
        <f>IF('Market Penetration'!N47=0,0,1000*N47*'Market Data'!$Y$51/('Market Penetration'!N47*'Market Data'!$W$51))</f>
        <v>13935.931373061374</v>
      </c>
      <c r="AK47" s="464">
        <f>IF('Market Penetration'!O47=0,0,1000*O47*'Market Data'!$Y$51/('Market Penetration'!O47*'Market Data'!$W$51))</f>
        <v>26691.093474910511</v>
      </c>
      <c r="AL47" s="464">
        <f>IF('Market Penetration'!P47=0,0,1000*P47*'Market Data'!$Y$51/('Market Penetration'!P47*'Market Data'!$W$51))</f>
        <v>24652.200439263703</v>
      </c>
      <c r="AM47" s="696">
        <f>IF('Market Penetration'!Q47=0,0,1000*Q47*'Market Data'!$Y$51/('Market Penetration'!Q47*'Market Data'!$W$51))</f>
        <v>56400.822697203817</v>
      </c>
      <c r="AN47" s="464">
        <f>IF('Market Penetration'!R47=0,0,1000*R47*'Market Data'!$Y$51/('Market Penetration'!R47*'Market Data'!$W$51))</f>
        <v>57569.092882664976</v>
      </c>
      <c r="AO47" s="691">
        <f>IF('Market Penetration'!S47=0,0,1000*S47*'Market Data'!$Y$51/('Market Penetration'!S47*'Market Data'!$W$51))</f>
        <v>0</v>
      </c>
      <c r="AP47" s="463">
        <f>IF('Market Penetration'!T47=0,0,1000*T47*('Market Data'!$E$51+'Market Data'!$O$51+'Market Data'!$Y$51)/('Market Penetration'!T47*('Market Data'!$C$51+'Market Data'!$M$51+'Market Data'!$W$51)))</f>
        <v>36647.857182455096</v>
      </c>
      <c r="AQ47" s="465">
        <f>IF('Market Penetration'!U47=0,0,1000*U47*('Market Data'!$E$51+'Market Data'!$O$51+'Market Data'!$Y$51)/('Market Penetration'!U47*('Market Data'!$C$51+'Market Data'!$M$51+'Market Data'!$W$51)))</f>
        <v>77984.356228479315</v>
      </c>
    </row>
    <row r="48" spans="1:43" ht="15" x14ac:dyDescent="0.25">
      <c r="A48" s="403">
        <v>2046</v>
      </c>
      <c r="B48" s="430">
        <f t="shared" si="12"/>
        <v>2.3151070695029308E-2</v>
      </c>
      <c r="C48" s="431">
        <f>'7&amp;8 Sleep'!$M115+'7&amp;8 Sleep'!$Z115</f>
        <v>0.39051015548131157</v>
      </c>
      <c r="D48" s="431">
        <f>'7&amp;8 Sleep'!$M167+'7&amp;8 Sleep'!$Z167</f>
        <v>0.3839670087167516</v>
      </c>
      <c r="E48" s="702">
        <f>'7&amp;8 Sleep'!$M219+'7&amp;8 Sleep'!$Z219</f>
        <v>2.6041889524488982E-2</v>
      </c>
      <c r="F48" s="431">
        <f>'7&amp;8 Sleep'!$M272+'7&amp;8 Sleep'!$Z272</f>
        <v>0.17632987558241847</v>
      </c>
      <c r="G48" s="660">
        <f>'7&amp;8 Sleep'!$M325+'7&amp;8 Sleep'!$Z325</f>
        <v>0</v>
      </c>
      <c r="H48" s="855">
        <f t="shared" si="13"/>
        <v>0.10650364986518279</v>
      </c>
      <c r="I48" s="660">
        <f>'7&amp;8 Day'!$M115+'7&amp;8 Day'!$Z115</f>
        <v>0.33563497753718341</v>
      </c>
      <c r="J48" s="660">
        <f>'7&amp;8 Day'!$M167+'7&amp;8 Day'!$Z167</f>
        <v>0.32169858910952243</v>
      </c>
      <c r="K48" s="660">
        <f>'7&amp;8 Day'!$M219+'7&amp;8 Day'!$Z219</f>
        <v>2.939041951277592E-2</v>
      </c>
      <c r="L48" s="660">
        <f>'7&amp;8 Day'!$M272+'7&amp;8 Day'!$Z272</f>
        <v>0.20677236397533544</v>
      </c>
      <c r="M48" s="707">
        <f>'7&amp;8 Day'!$M325+'7&amp;8 Day'!$Z325</f>
        <v>0</v>
      </c>
      <c r="N48" s="430">
        <f t="shared" si="14"/>
        <v>3.4774761341693772E-4</v>
      </c>
      <c r="O48" s="431">
        <f>'7&amp;8 SU'!$M115+'7&amp;8 SU'!$Z115</f>
        <v>0.40619580538648292</v>
      </c>
      <c r="P48" s="431">
        <f>'7&amp;8 SU'!$M167+'7&amp;8 SU'!$Z167</f>
        <v>0.422345362516797</v>
      </c>
      <c r="Q48" s="702">
        <f>'7&amp;8 SU'!$M219+'7&amp;8 SU'!$Z219</f>
        <v>4.984013725383072E-2</v>
      </c>
      <c r="R48" s="431">
        <f>'7&amp;8 SU'!$M272+'7&amp;8 SU'!$Z272</f>
        <v>0.12127094722947243</v>
      </c>
      <c r="S48" s="660">
        <f>'7&amp;8 SU'!$M325+'7&amp;8 SU'!$Z325</f>
        <v>0</v>
      </c>
      <c r="T48" s="433">
        <f>B48*'Market Data'!$E$52+H48*'Market Data'!$O$52+N48*+N48*'Market Data'!$Y$52</f>
        <v>4.1237281227737475E-2</v>
      </c>
      <c r="U48" s="434">
        <f>SUM(C48:G48)*'Market Data'!$E$52+SUM(I48:M48)*'Market Data'!$O$52+SUM(O48:S48)*+N48*'Market Data'!$Y$52</f>
        <v>0.86911549693679346</v>
      </c>
      <c r="W48" s="403">
        <v>2046</v>
      </c>
      <c r="X48" s="466">
        <f>IF('Market Penetration'!B48=0,0,1000*B48*'Market Data'!$E$51/('Market Penetration'!B48*'Market Data'!$C$51))</f>
        <v>43022.559966335139</v>
      </c>
      <c r="Y48" s="467">
        <f>IF('Market Penetration'!C48=0,0,1000*C48*'Market Data'!$E$51/('Market Penetration'!C48*'Market Data'!$C$51))</f>
        <v>115854.24396127385</v>
      </c>
      <c r="Z48" s="467">
        <f>IF('Market Penetration'!D48=0,0,1000*D48*'Market Data'!$E$51/('Market Penetration'!D48*'Market Data'!$C$51))</f>
        <v>116499.90114570722</v>
      </c>
      <c r="AA48" s="697">
        <f>IF('Market Penetration'!E48=0,0,1000*E48*'Market Data'!$E$51/('Market Penetration'!E48*'Market Data'!$C$51))</f>
        <v>119794.93012652351</v>
      </c>
      <c r="AB48" s="467">
        <f>IF('Market Penetration'!F48=0,0,1000*F48*'Market Data'!$E$51/('Market Penetration'!F48*'Market Data'!$C$51))</f>
        <v>132820.44426439438</v>
      </c>
      <c r="AC48" s="692">
        <f>IF('Market Penetration'!G48=0,0,1000*G48*'Market Data'!$E$51/('Market Penetration'!G48*'Market Data'!$C$51))</f>
        <v>0</v>
      </c>
      <c r="AD48" s="466">
        <f>IF('Market Penetration'!H48=0,0,1000*H48*'Market Data'!$O$51/('Market Penetration'!H48*'Market Data'!$M$51))</f>
        <v>34376.013619035613</v>
      </c>
      <c r="AE48" s="467">
        <f>IF('Market Penetration'!I48=0,0,1000*I48*'Market Data'!$O$51/('Market Penetration'!I48*'Market Data'!$M$51))</f>
        <v>86886.920796995444</v>
      </c>
      <c r="AF48" s="467">
        <f>IF('Market Penetration'!J48=0,0,1000*J48*'Market Data'!$O$51/('Market Penetration'!J48*'Market Data'!$M$51))</f>
        <v>88783.683366541794</v>
      </c>
      <c r="AG48" s="467">
        <f>IF('Market Penetration'!K48=0,0,1000*K48*'Market Data'!$O$51/('Market Penetration'!K48*'Market Data'!$M$51))</f>
        <v>63551.869391742803</v>
      </c>
      <c r="AH48" s="467">
        <f>IF('Market Penetration'!L48=0,0,1000*L48*'Market Data'!$O$51/('Market Penetration'!L48*'Market Data'!$M$51))</f>
        <v>106439.66506495378</v>
      </c>
      <c r="AI48" s="860">
        <f>IF('Market Penetration'!M48=0,0,1000*M48*'Market Data'!$O$51/('Market Penetration'!M48*'Market Data'!$M$51))</f>
        <v>0</v>
      </c>
      <c r="AJ48" s="466">
        <f>IF('Market Penetration'!N48=0,0,1000*N48*'Market Data'!$Y$51/('Market Penetration'!N48*'Market Data'!$W$51))</f>
        <v>27261.021505222896</v>
      </c>
      <c r="AK48" s="467">
        <f>IF('Market Penetration'!O48=0,0,1000*O48*'Market Data'!$Y$51/('Market Penetration'!O48*'Market Data'!$W$51))</f>
        <v>25574.901243551983</v>
      </c>
      <c r="AL48" s="467">
        <f>IF('Market Penetration'!P48=0,0,1000*P48*'Market Data'!$Y$51/('Market Penetration'!P48*'Market Data'!$W$51))</f>
        <v>24478.09148606945</v>
      </c>
      <c r="AM48" s="697">
        <f>IF('Market Penetration'!Q48=0,0,1000*Q48*'Market Data'!$Y$51/('Market Penetration'!Q48*'Market Data'!$W$51))</f>
        <v>46116.438915148239</v>
      </c>
      <c r="AN48" s="467">
        <f>IF('Market Penetration'!R48=0,0,1000*R48*'Market Data'!$Y$51/('Market Penetration'!R48*'Market Data'!$W$51))</f>
        <v>49451.943318607468</v>
      </c>
      <c r="AO48" s="692">
        <f>IF('Market Penetration'!S48=0,0,1000*S48*'Market Data'!$Y$51/('Market Penetration'!S48*'Market Data'!$W$51))</f>
        <v>0</v>
      </c>
      <c r="AP48" s="468">
        <f>IF('Market Penetration'!T48=0,0,1000*T48*('Market Data'!$E$51+'Market Data'!$O$51+'Market Data'!$Y$51)/('Market Penetration'!T48*('Market Data'!$C$51+'Market Data'!$M$51+'Market Data'!$W$51)))</f>
        <v>37141.816793967468</v>
      </c>
      <c r="AQ48" s="469">
        <f>IF('Market Penetration'!U48=0,0,1000*U48*('Market Data'!$E$51+'Market Data'!$O$51+'Market Data'!$Y$51)/('Market Penetration'!U48*('Market Data'!$C$51+'Market Data'!$M$51+'Market Data'!$W$51)))</f>
        <v>77808.357686810923</v>
      </c>
    </row>
    <row r="49" spans="1:43" ht="15" x14ac:dyDescent="0.25">
      <c r="A49" s="403">
        <v>2047</v>
      </c>
      <c r="B49" s="423">
        <f t="shared" si="12"/>
        <v>2.3547134499603106E-2</v>
      </c>
      <c r="C49" s="424">
        <f>'7&amp;8 Sleep'!$M116+'7&amp;8 Sleep'!$Z116</f>
        <v>0.35653973261536331</v>
      </c>
      <c r="D49" s="424">
        <f>'7&amp;8 Sleep'!$M168+'7&amp;8 Sleep'!$Z168</f>
        <v>0.35123857116362855</v>
      </c>
      <c r="E49" s="700">
        <f>'7&amp;8 Sleep'!$M220+'7&amp;8 Sleep'!$Z220</f>
        <v>5.6938748322546223E-2</v>
      </c>
      <c r="F49" s="424">
        <f>'7&amp;8 Sleep'!$M273+'7&amp;8 Sleep'!$Z273</f>
        <v>0.21173581339885883</v>
      </c>
      <c r="G49" s="658">
        <f>'7&amp;8 Sleep'!$M326+'7&amp;8 Sleep'!$Z326</f>
        <v>0</v>
      </c>
      <c r="H49" s="853">
        <f t="shared" si="13"/>
        <v>0.10170163957058964</v>
      </c>
      <c r="I49" s="658">
        <f>'7&amp;8 Day'!$M116+'7&amp;8 Day'!$Z116</f>
        <v>0.32118265011059421</v>
      </c>
      <c r="J49" s="658">
        <f>'7&amp;8 Day'!$M168+'7&amp;8 Day'!$Z168</f>
        <v>0.30813495706611327</v>
      </c>
      <c r="K49" s="658">
        <f>'7&amp;8 Day'!$M220+'7&amp;8 Day'!$Z220</f>
        <v>4.3605923936965774E-2</v>
      </c>
      <c r="L49" s="658">
        <f>'7&amp;8 Day'!$M273+'7&amp;8 Day'!$Z273</f>
        <v>0.2253748293157371</v>
      </c>
      <c r="M49" s="705">
        <f>'7&amp;8 Day'!$M326+'7&amp;8 Day'!$Z326</f>
        <v>0</v>
      </c>
      <c r="N49" s="423">
        <f t="shared" si="14"/>
        <v>9.687751409792611E-5</v>
      </c>
      <c r="O49" s="424">
        <f>'7&amp;8 SU'!$M116+'7&amp;8 SU'!$Z116</f>
        <v>0.37979738511012551</v>
      </c>
      <c r="P49" s="424">
        <f>'7&amp;8 SU'!$M168+'7&amp;8 SU'!$Z168</f>
        <v>0.38917937676065834</v>
      </c>
      <c r="Q49" s="700">
        <f>'7&amp;8 SU'!$M220+'7&amp;8 SU'!$Z220</f>
        <v>8.6799733787244621E-2</v>
      </c>
      <c r="R49" s="424">
        <f>'7&amp;8 SU'!$M273+'7&amp;8 SU'!$Z273</f>
        <v>0.14412662682787364</v>
      </c>
      <c r="S49" s="658">
        <f>'7&amp;8 SU'!$M326+'7&amp;8 SU'!$Z326</f>
        <v>0</v>
      </c>
      <c r="T49" s="423">
        <f>B49*'Market Data'!$E$52+H49*'Market Data'!$O$52+N49*+N49*'Market Data'!$Y$52</f>
        <v>4.0340442324932523E-2</v>
      </c>
      <c r="U49" s="425">
        <f>SUM(C49:G49)*'Market Data'!$E$52+SUM(I49:M49)*'Market Data'!$O$52+SUM(O49:S49)*+N49*'Market Data'!$Y$52</f>
        <v>0.86998983820865539</v>
      </c>
      <c r="W49" s="403">
        <v>2047</v>
      </c>
      <c r="X49" s="460">
        <f>IF('Market Penetration'!B49=0,0,1000*B49*'Market Data'!$E$51/('Market Penetration'!B49*'Market Data'!$C$51))</f>
        <v>43489.507406767625</v>
      </c>
      <c r="Y49" s="461">
        <f>IF('Market Penetration'!C49=0,0,1000*C49*'Market Data'!$E$51/('Market Penetration'!C49*'Market Data'!$C$51))</f>
        <v>116189.57999612275</v>
      </c>
      <c r="Z49" s="461">
        <f>IF('Market Penetration'!D49=0,0,1000*D49*'Market Data'!$E$51/('Market Penetration'!D49*'Market Data'!$C$51))</f>
        <v>116691.49509928653</v>
      </c>
      <c r="AA49" s="695">
        <f>IF('Market Penetration'!E49=0,0,1000*E49*'Market Data'!$E$51/('Market Penetration'!E49*'Market Data'!$C$51))</f>
        <v>116644.0736028137</v>
      </c>
      <c r="AB49" s="461">
        <f>IF('Market Penetration'!F49=0,0,1000*F49*'Market Data'!$E$51/('Market Penetration'!F49*'Market Data'!$C$51))</f>
        <v>128990.96808488294</v>
      </c>
      <c r="AC49" s="690">
        <f>IF('Market Penetration'!G49=0,0,1000*G49*'Market Data'!$E$51/('Market Penetration'!G49*'Market Data'!$C$51))</f>
        <v>0</v>
      </c>
      <c r="AD49" s="460">
        <f>IF('Market Penetration'!H49=0,0,1000*H49*'Market Data'!$O$51/('Market Penetration'!H49*'Market Data'!$M$51))</f>
        <v>34148.354989070795</v>
      </c>
      <c r="AE49" s="461">
        <f>IF('Market Penetration'!I49=0,0,1000*I49*'Market Data'!$O$51/('Market Penetration'!I49*'Market Data'!$M$51))</f>
        <v>87530.116250055595</v>
      </c>
      <c r="AF49" s="461">
        <f>IF('Market Penetration'!J49=0,0,1000*J49*'Market Data'!$O$51/('Market Penetration'!J49*'Market Data'!$M$51))</f>
        <v>89537.446001551201</v>
      </c>
      <c r="AG49" s="461">
        <f>IF('Market Penetration'!K49=0,0,1000*K49*'Market Data'!$O$51/('Market Penetration'!K49*'Market Data'!$M$51))</f>
        <v>60392.467359194306</v>
      </c>
      <c r="AH49" s="461">
        <f>IF('Market Penetration'!L49=0,0,1000*L49*'Market Data'!$O$51/('Market Penetration'!L49*'Market Data'!$M$51))</f>
        <v>103454.1186670161</v>
      </c>
      <c r="AI49" s="462">
        <f>IF('Market Penetration'!M49=0,0,1000*M49*'Market Data'!$O$51/('Market Penetration'!M49*'Market Data'!$M$51))</f>
        <v>0</v>
      </c>
      <c r="AJ49" s="460">
        <f>IF('Market Penetration'!N49=0,0,1000*N49*'Market Data'!$Y$51/('Market Penetration'!N49*'Market Data'!$W$51))</f>
        <v>27261.021505299213</v>
      </c>
      <c r="AK49" s="461">
        <f>IF('Market Penetration'!O49=0,0,1000*O49*'Market Data'!$Y$51/('Market Penetration'!O49*'Market Data'!$W$51))</f>
        <v>24847.331842107767</v>
      </c>
      <c r="AL49" s="461">
        <f>IF('Market Penetration'!P49=0,0,1000*P49*'Market Data'!$Y$51/('Market Penetration'!P49*'Market Data'!$W$51))</f>
        <v>24199.078045295901</v>
      </c>
      <c r="AM49" s="695">
        <f>IF('Market Penetration'!Q49=0,0,1000*Q49*'Market Data'!$Y$51/('Market Penetration'!Q49*'Market Data'!$W$51))</f>
        <v>40234.619439829286</v>
      </c>
      <c r="AN49" s="461">
        <f>IF('Market Penetration'!R49=0,0,1000*R49*'Market Data'!$Y$51/('Market Penetration'!R49*'Market Data'!$W$51))</f>
        <v>45698.273180871889</v>
      </c>
      <c r="AO49" s="690">
        <f>IF('Market Penetration'!S49=0,0,1000*S49*'Market Data'!$Y$51/('Market Penetration'!S49*'Market Data'!$W$51))</f>
        <v>0</v>
      </c>
      <c r="AP49" s="460">
        <f>IF('Market Penetration'!T49=0,0,1000*T49*('Market Data'!$E$51+'Market Data'!$O$51+'Market Data'!$Y$51)/('Market Penetration'!T49*('Market Data'!$C$51+'Market Data'!$M$51+'Market Data'!$W$51)))</f>
        <v>37260.949710803368</v>
      </c>
      <c r="AQ49" s="462">
        <f>IF('Market Penetration'!U49=0,0,1000*U49*('Market Data'!$E$51+'Market Data'!$O$51+'Market Data'!$Y$51)/('Market Penetration'!U49*('Market Data'!$C$51+'Market Data'!$M$51+'Market Data'!$W$51)))</f>
        <v>77694.52553655552</v>
      </c>
    </row>
    <row r="50" spans="1:43" ht="15" x14ac:dyDescent="0.25">
      <c r="A50" s="403">
        <v>2048</v>
      </c>
      <c r="B50" s="423">
        <f t="shared" si="12"/>
        <v>2.3819954845696878E-2</v>
      </c>
      <c r="C50" s="424">
        <f>'7&amp;8 Sleep'!$M117+'7&amp;8 Sleep'!$Z117</f>
        <v>0.3345140113789572</v>
      </c>
      <c r="D50" s="424">
        <f>'7&amp;8 Sleep'!$M169+'7&amp;8 Sleep'!$Z169</f>
        <v>0.33024025102418753</v>
      </c>
      <c r="E50" s="700">
        <f>'7&amp;8 Sleep'!$M221+'7&amp;8 Sleep'!$Z221</f>
        <v>8.0163711520206432E-2</v>
      </c>
      <c r="F50" s="424">
        <f>'7&amp;8 Sleep'!$M274+'7&amp;8 Sleep'!$Z274</f>
        <v>0.23126207123095197</v>
      </c>
      <c r="G50" s="658">
        <f>'7&amp;8 Sleep'!$M327+'7&amp;8 Sleep'!$Z327</f>
        <v>0</v>
      </c>
      <c r="H50" s="853">
        <f t="shared" si="13"/>
        <v>0.10146708727167009</v>
      </c>
      <c r="I50" s="658">
        <f>'7&amp;8 Day'!$M117+'7&amp;8 Day'!$Z117</f>
        <v>0.31062857925424725</v>
      </c>
      <c r="J50" s="658">
        <f>'7&amp;8 Day'!$M169+'7&amp;8 Day'!$Z169</f>
        <v>0.30007738957770824</v>
      </c>
      <c r="K50" s="658">
        <f>'7&amp;8 Day'!$M221+'7&amp;8 Day'!$Z221</f>
        <v>5.1871000602503103E-2</v>
      </c>
      <c r="L50" s="658">
        <f>'7&amp;8 Day'!$M274+'7&amp;8 Day'!$Z274</f>
        <v>0.23595594329387135</v>
      </c>
      <c r="M50" s="705">
        <f>'7&amp;8 Day'!$M327+'7&amp;8 Day'!$Z327</f>
        <v>0</v>
      </c>
      <c r="N50" s="423">
        <f t="shared" si="14"/>
        <v>1.3884039992029251E-5</v>
      </c>
      <c r="O50" s="424">
        <f>'7&amp;8 SU'!$M117+'7&amp;8 SU'!$Z117</f>
        <v>0.35925549938818674</v>
      </c>
      <c r="P50" s="424">
        <f>'7&amp;8 SU'!$M169+'7&amp;8 SU'!$Z169</f>
        <v>0.36494873444586362</v>
      </c>
      <c r="Q50" s="700">
        <f>'7&amp;8 SU'!$M221+'7&amp;8 SU'!$Z221</f>
        <v>0.11762811362453504</v>
      </c>
      <c r="R50" s="424">
        <f>'7&amp;8 SU'!$M274+'7&amp;8 SU'!$Z274</f>
        <v>0.15815376850142249</v>
      </c>
      <c r="S50" s="658">
        <f>'7&amp;8 SU'!$M327+'7&amp;8 SU'!$Z327</f>
        <v>0</v>
      </c>
      <c r="T50" s="423">
        <f>B50*'Market Data'!$E$52+H50*'Market Data'!$O$52+N50*+N50*'Market Data'!$Y$52</f>
        <v>4.0466066193668264E-2</v>
      </c>
      <c r="U50" s="425">
        <f>SUM(C50:G50)*'Market Data'!$E$52+SUM(I50:M50)*'Market Data'!$O$52+SUM(O50:S50)*+N50*'Market Data'!$Y$52</f>
        <v>0.86985677161734654</v>
      </c>
      <c r="W50" s="403">
        <v>2048</v>
      </c>
      <c r="X50" s="460">
        <f>IF('Market Penetration'!B50=0,0,1000*B50*'Market Data'!$E$51/('Market Penetration'!B50*'Market Data'!$C$51))</f>
        <v>43809.239363026376</v>
      </c>
      <c r="Y50" s="461">
        <f>IF('Market Penetration'!C50=0,0,1000*C50*'Market Data'!$E$51/('Market Penetration'!C50*'Market Data'!$C$51))</f>
        <v>116774.33344258829</v>
      </c>
      <c r="Z50" s="461">
        <f>IF('Market Penetration'!D50=0,0,1000*D50*'Market Data'!$E$51/('Market Penetration'!D50*'Market Data'!$C$51))</f>
        <v>117191.67297749156</v>
      </c>
      <c r="AA50" s="695">
        <f>IF('Market Penetration'!E50=0,0,1000*E50*'Market Data'!$E$51/('Market Penetration'!E50*'Market Data'!$C$51))</f>
        <v>114474.12557013299</v>
      </c>
      <c r="AB50" s="461">
        <f>IF('Market Penetration'!F50=0,0,1000*F50*'Market Data'!$E$51/('Market Penetration'!F50*'Market Data'!$C$51))</f>
        <v>126852.75420913014</v>
      </c>
      <c r="AC50" s="690">
        <f>IF('Market Penetration'!G50=0,0,1000*G50*'Market Data'!$E$51/('Market Penetration'!G50*'Market Data'!$C$51))</f>
        <v>0</v>
      </c>
      <c r="AD50" s="460">
        <f>IF('Market Penetration'!H50=0,0,1000*H50*'Market Data'!$O$51/('Market Penetration'!H50*'Market Data'!$M$51))</f>
        <v>34100.43244891525</v>
      </c>
      <c r="AE50" s="461">
        <f>IF('Market Penetration'!I50=0,0,1000*I50*'Market Data'!$O$51/('Market Penetration'!I50*'Market Data'!$M$51))</f>
        <v>89192.01610568192</v>
      </c>
      <c r="AF50" s="461">
        <f>IF('Market Penetration'!J50=0,0,1000*J50*'Market Data'!$O$51/('Market Penetration'!J50*'Market Data'!$M$51))</f>
        <v>90579.962078004406</v>
      </c>
      <c r="AG50" s="461">
        <f>IF('Market Penetration'!K50=0,0,1000*K50*'Market Data'!$O$51/('Market Penetration'!K50*'Market Data'!$M$51))</f>
        <v>57728.541557597484</v>
      </c>
      <c r="AH50" s="461">
        <f>IF('Market Penetration'!L50=0,0,1000*L50*'Market Data'!$O$51/('Market Penetration'!L50*'Market Data'!$M$51))</f>
        <v>101706.58329449524</v>
      </c>
      <c r="AI50" s="462">
        <f>IF('Market Penetration'!M50=0,0,1000*M50*'Market Data'!$O$51/('Market Penetration'!M50*'Market Data'!$M$51))</f>
        <v>0</v>
      </c>
      <c r="AJ50" s="460">
        <f>IF('Market Penetration'!N50=0,0,1000*N50*'Market Data'!$Y$51/('Market Penetration'!N50*'Market Data'!$W$51))</f>
        <v>27261.021505859459</v>
      </c>
      <c r="AK50" s="461">
        <f>IF('Market Penetration'!O50=0,0,1000*O50*'Market Data'!$Y$51/('Market Penetration'!O50*'Market Data'!$W$51))</f>
        <v>24352.106319030601</v>
      </c>
      <c r="AL50" s="461">
        <f>IF('Market Penetration'!P50=0,0,1000*P50*'Market Data'!$Y$51/('Market Penetration'!P50*'Market Data'!$W$51))</f>
        <v>23958.587873699162</v>
      </c>
      <c r="AM50" s="695">
        <f>IF('Market Penetration'!Q50=0,0,1000*Q50*'Market Data'!$Y$51/('Market Penetration'!Q50*'Market Data'!$W$51))</f>
        <v>37815.970017757027</v>
      </c>
      <c r="AN50" s="461">
        <f>IF('Market Penetration'!R50=0,0,1000*R50*'Market Data'!$Y$51/('Market Penetration'!R50*'Market Data'!$W$51))</f>
        <v>44098.969777074402</v>
      </c>
      <c r="AO50" s="690">
        <f>IF('Market Penetration'!S50=0,0,1000*S50*'Market Data'!$Y$51/('Market Penetration'!S50*'Market Data'!$W$51))</f>
        <v>0</v>
      </c>
      <c r="AP50" s="460">
        <f>IF('Market Penetration'!T50=0,0,1000*T50*('Market Data'!$E$51+'Market Data'!$O$51+'Market Data'!$Y$51)/('Market Penetration'!T50*('Market Data'!$C$51+'Market Data'!$M$51+'Market Data'!$W$51)))</f>
        <v>37356.389787558786</v>
      </c>
      <c r="AQ50" s="462">
        <f>IF('Market Penetration'!U50=0,0,1000*U50*('Market Data'!$E$51+'Market Data'!$O$51+'Market Data'!$Y$51)/('Market Penetration'!U50*('Market Data'!$C$51+'Market Data'!$M$51+'Market Data'!$W$51)))</f>
        <v>77686.782821204542</v>
      </c>
    </row>
    <row r="51" spans="1:43" ht="15" x14ac:dyDescent="0.25">
      <c r="A51" s="403">
        <v>2049</v>
      </c>
      <c r="B51" s="423">
        <f t="shared" si="12"/>
        <v>2.3224415499812023E-2</v>
      </c>
      <c r="C51" s="424">
        <f>'7&amp;8 Sleep'!$M118+'7&amp;8 Sleep'!$Z118</f>
        <v>0.32101336571842698</v>
      </c>
      <c r="D51" s="424">
        <f>'7&amp;8 Sleep'!$M170+'7&amp;8 Sleep'!$Z170</f>
        <v>0.31678760659453087</v>
      </c>
      <c r="E51" s="700">
        <f>'7&amp;8 Sleep'!$M222+'7&amp;8 Sleep'!$Z222</f>
        <v>9.691392310964711E-2</v>
      </c>
      <c r="F51" s="424">
        <f>'7&amp;8 Sleep'!$M275+'7&amp;8 Sleep'!$Z275</f>
        <v>0.24206068907758299</v>
      </c>
      <c r="G51" s="658">
        <f>'7&amp;8 Sleep'!$M328+'7&amp;8 Sleep'!$Z328</f>
        <v>0</v>
      </c>
      <c r="H51" s="853">
        <f t="shared" si="13"/>
        <v>9.8153510266400956E-2</v>
      </c>
      <c r="I51" s="658">
        <f>'7&amp;8 Day'!$M118+'7&amp;8 Day'!$Z118</f>
        <v>0.30556079564799193</v>
      </c>
      <c r="J51" s="658">
        <f>'7&amp;8 Day'!$M170+'7&amp;8 Day'!$Z170</f>
        <v>0.29560905011130778</v>
      </c>
      <c r="K51" s="658">
        <f>'7&amp;8 Day'!$M222+'7&amp;8 Day'!$Z222</f>
        <v>5.7505727524744712E-2</v>
      </c>
      <c r="L51" s="658">
        <f>'7&amp;8 Day'!$M275+'7&amp;8 Day'!$Z275</f>
        <v>0.24317091644955457</v>
      </c>
      <c r="M51" s="705">
        <f>'7&amp;8 Day'!$M328+'7&amp;8 Day'!$Z328</f>
        <v>0</v>
      </c>
      <c r="N51" s="423">
        <f t="shared" si="14"/>
        <v>8.7201246873336302E-6</v>
      </c>
      <c r="O51" s="424">
        <f>'7&amp;8 SU'!$M118+'7&amp;8 SU'!$Z118</f>
        <v>0.34522391648270745</v>
      </c>
      <c r="P51" s="424">
        <f>'7&amp;8 SU'!$M170+'7&amp;8 SU'!$Z170</f>
        <v>0.34902242993888477</v>
      </c>
      <c r="Q51" s="700">
        <f>'7&amp;8 SU'!$M222+'7&amp;8 SU'!$Z222</f>
        <v>0.13710633128150429</v>
      </c>
      <c r="R51" s="424">
        <f>'7&amp;8 SU'!$M275+'7&amp;8 SU'!$Z275</f>
        <v>0.16863860217221616</v>
      </c>
      <c r="S51" s="658">
        <f>'7&amp;8 SU'!$M328+'7&amp;8 SU'!$Z328</f>
        <v>0</v>
      </c>
      <c r="T51" s="423">
        <f>B51*'Market Data'!$E$52+H51*'Market Data'!$O$52+N51*+N51*'Market Data'!$Y$52</f>
        <v>3.926646135417964E-2</v>
      </c>
      <c r="U51" s="425">
        <f>SUM(C51:G51)*'Market Data'!$E$52+SUM(I51:M51)*'Market Data'!$O$52+SUM(O51:S51)*+N51*'Market Data'!$Y$52</f>
        <v>0.87105591336513533</v>
      </c>
      <c r="W51" s="403">
        <v>2049</v>
      </c>
      <c r="X51" s="460">
        <f>IF('Market Penetration'!B51=0,0,1000*B51*'Market Data'!$E$51/('Market Penetration'!B51*'Market Data'!$C$51))</f>
        <v>43074.745793614165</v>
      </c>
      <c r="Y51" s="461">
        <f>IF('Market Penetration'!C51=0,0,1000*C51*'Market Data'!$E$51/('Market Penetration'!C51*'Market Data'!$C$51))</f>
        <v>117353.61147982744</v>
      </c>
      <c r="Z51" s="461">
        <f>IF('Market Penetration'!D51=0,0,1000*D51*'Market Data'!$E$51/('Market Penetration'!D51*'Market Data'!$C$51))</f>
        <v>117676.81333267366</v>
      </c>
      <c r="AA51" s="695">
        <f>IF('Market Penetration'!E51=0,0,1000*E51*'Market Data'!$E$51/('Market Penetration'!E51*'Market Data'!$C$51))</f>
        <v>113350.29476066025</v>
      </c>
      <c r="AB51" s="461">
        <f>IF('Market Penetration'!F51=0,0,1000*F51*'Market Data'!$E$51/('Market Penetration'!F51*'Market Data'!$C$51))</f>
        <v>125548.12411672399</v>
      </c>
      <c r="AC51" s="690">
        <f>IF('Market Penetration'!G51=0,0,1000*G51*'Market Data'!$E$51/('Market Penetration'!G51*'Market Data'!$C$51))</f>
        <v>0</v>
      </c>
      <c r="AD51" s="460">
        <f>IF('Market Penetration'!H51=0,0,1000*H51*'Market Data'!$O$51/('Market Penetration'!H51*'Market Data'!$M$51))</f>
        <v>33723.800819263153</v>
      </c>
      <c r="AE51" s="461">
        <f>IF('Market Penetration'!I51=0,0,1000*I51*'Market Data'!$O$51/('Market Penetration'!I51*'Market Data'!$M$51))</f>
        <v>89904.099316947337</v>
      </c>
      <c r="AF51" s="461">
        <f>IF('Market Penetration'!J51=0,0,1000*J51*'Market Data'!$O$51/('Market Penetration'!J51*'Market Data'!$M$51))</f>
        <v>91369.389386119903</v>
      </c>
      <c r="AG51" s="461">
        <f>IF('Market Penetration'!K51=0,0,1000*K51*'Market Data'!$O$51/('Market Penetration'!K51*'Market Data'!$M$51))</f>
        <v>56236.784558150968</v>
      </c>
      <c r="AH51" s="461">
        <f>IF('Market Penetration'!L51=0,0,1000*L51*'Market Data'!$O$51/('Market Penetration'!L51*'Market Data'!$M$51))</f>
        <v>100382.57642774224</v>
      </c>
      <c r="AI51" s="462">
        <f>IF('Market Penetration'!M51=0,0,1000*M51*'Market Data'!$O$51/('Market Penetration'!M51*'Market Data'!$M$51))</f>
        <v>0</v>
      </c>
      <c r="AJ51" s="460">
        <f>IF('Market Penetration'!N51=0,0,1000*N51*'Market Data'!$Y$51/('Market Penetration'!N51*'Market Data'!$W$51))</f>
        <v>27261.021505899651</v>
      </c>
      <c r="AK51" s="461">
        <f>IF('Market Penetration'!O51=0,0,1000*O51*'Market Data'!$Y$51/('Market Penetration'!O51*'Market Data'!$W$51))</f>
        <v>24102.711033712425</v>
      </c>
      <c r="AL51" s="461">
        <f>IF('Market Penetration'!P51=0,0,1000*P51*'Market Data'!$Y$51/('Market Penetration'!P51*'Market Data'!$W$51))</f>
        <v>23836.154473821003</v>
      </c>
      <c r="AM51" s="695">
        <f>IF('Market Penetration'!Q51=0,0,1000*Q51*'Market Data'!$Y$51/('Market Penetration'!Q51*'Market Data'!$W$51))</f>
        <v>36315.991588203258</v>
      </c>
      <c r="AN51" s="461">
        <f>IF('Market Penetration'!R51=0,0,1000*R51*'Market Data'!$Y$51/('Market Penetration'!R51*'Market Data'!$W$51))</f>
        <v>42789.474888513621</v>
      </c>
      <c r="AO51" s="690">
        <f>IF('Market Penetration'!S51=0,0,1000*S51*'Market Data'!$Y$51/('Market Penetration'!S51*'Market Data'!$W$51))</f>
        <v>0</v>
      </c>
      <c r="AP51" s="460">
        <f>IF('Market Penetration'!T51=0,0,1000*T51*('Market Data'!$E$51+'Market Data'!$O$51+'Market Data'!$Y$51)/('Market Penetration'!T51*('Market Data'!$C$51+'Market Data'!$M$51+'Market Data'!$W$51)))</f>
        <v>36888.859716682084</v>
      </c>
      <c r="AQ51" s="462">
        <f>IF('Market Penetration'!U51=0,0,1000*U51*('Market Data'!$E$51+'Market Data'!$O$51+'Market Data'!$Y$51)/('Market Penetration'!U51*('Market Data'!$C$51+'Market Data'!$M$51+'Market Data'!$W$51)))</f>
        <v>77663.545620973644</v>
      </c>
    </row>
    <row r="52" spans="1:43" ht="15.75" thickBot="1" x14ac:dyDescent="0.3">
      <c r="A52" s="404">
        <v>2050</v>
      </c>
      <c r="B52" s="435">
        <f t="shared" si="12"/>
        <v>2.3525130165814367E-2</v>
      </c>
      <c r="C52" s="436">
        <f>'7&amp;8 Sleep'!$M119+'7&amp;8 Sleep'!$Z119</f>
        <v>0.30532035093126542</v>
      </c>
      <c r="D52" s="436">
        <f>'7&amp;8 Sleep'!$M171+'7&amp;8 Sleep'!$Z171</f>
        <v>0.30141633344883256</v>
      </c>
      <c r="E52" s="703">
        <f>'7&amp;8 Sleep'!$M223+'7&amp;8 Sleep'!$Z223</f>
        <v>0.11886655861549225</v>
      </c>
      <c r="F52" s="436">
        <f>'7&amp;8 Sleep'!$M276+'7&amp;8 Sleep'!$Z276</f>
        <v>0.25087162683859543</v>
      </c>
      <c r="G52" s="661">
        <f>'7&amp;8 Sleep'!$M329+'7&amp;8 Sleep'!$Z329</f>
        <v>0</v>
      </c>
      <c r="H52" s="856">
        <f t="shared" si="13"/>
        <v>9.6256270334907246E-2</v>
      </c>
      <c r="I52" s="661">
        <f>'7&amp;8 Day'!$M119+'7&amp;8 Day'!$Z119</f>
        <v>0.29796086746685541</v>
      </c>
      <c r="J52" s="661">
        <f>'7&amp;8 Day'!$M171+'7&amp;8 Day'!$Z171</f>
        <v>0.28904919673477913</v>
      </c>
      <c r="K52" s="661">
        <f>'7&amp;8 Day'!$M223+'7&amp;8 Day'!$Z223</f>
        <v>6.3962099092506469E-2</v>
      </c>
      <c r="L52" s="661">
        <f>'7&amp;8 Day'!$M276+'7&amp;8 Day'!$Z276</f>
        <v>0.25277156637095172</v>
      </c>
      <c r="M52" s="708">
        <f>'7&amp;8 Day'!$M329+'7&amp;8 Day'!$Z329</f>
        <v>0</v>
      </c>
      <c r="N52" s="435">
        <f t="shared" si="14"/>
        <v>3.8699220956672775E-6</v>
      </c>
      <c r="O52" s="436">
        <f>'7&amp;8 SU'!$M119+'7&amp;8 SU'!$Z119</f>
        <v>0.32289187400831754</v>
      </c>
      <c r="P52" s="436">
        <f>'7&amp;8 SU'!$M171+'7&amp;8 SU'!$Z171</f>
        <v>0.32460517571778402</v>
      </c>
      <c r="Q52" s="703">
        <f>'7&amp;8 SU'!$M223+'7&amp;8 SU'!$Z223</f>
        <v>0.17063927578789412</v>
      </c>
      <c r="R52" s="436">
        <f>'7&amp;8 SU'!$M276+'7&amp;8 SU'!$Z276</f>
        <v>0.1818598045639086</v>
      </c>
      <c r="S52" s="661">
        <f>'7&amp;8 SU'!$M329+'7&amp;8 SU'!$Z329</f>
        <v>0</v>
      </c>
      <c r="T52" s="435">
        <f>B52*'Market Data'!$E$52+H52*'Market Data'!$O$52+N52*+N52*'Market Data'!$Y$52</f>
        <v>3.9008540010679327E-2</v>
      </c>
      <c r="U52" s="437">
        <f>SUM(C52:G52)*'Market Data'!$E$52+SUM(I52:M52)*'Market Data'!$O$52+SUM(O52:S52)*+N52*'Market Data'!$Y$52</f>
        <v>0.87131339975019217</v>
      </c>
      <c r="W52" s="404">
        <v>2050</v>
      </c>
      <c r="X52" s="470">
        <f>IF('Market Penetration'!B52=0,0,1000*B52*'Market Data'!$E$51/('Market Penetration'!B52*'Market Data'!$C$51))</f>
        <v>43428.883474980466</v>
      </c>
      <c r="Y52" s="471">
        <f>IF('Market Penetration'!C52=0,0,1000*C52*'Market Data'!$E$51/('Market Penetration'!C52*'Market Data'!$C$51))</f>
        <v>118191.96419131645</v>
      </c>
      <c r="Z52" s="471">
        <f>IF('Market Penetration'!D52=0,0,1000*D52*'Market Data'!$E$51/('Market Penetration'!D52*'Market Data'!$C$51))</f>
        <v>118470.04727774908</v>
      </c>
      <c r="AA52" s="698">
        <f>IF('Market Penetration'!E52=0,0,1000*E52*'Market Data'!$E$51/('Market Penetration'!E52*'Market Data'!$C$51))</f>
        <v>111453.45363165952</v>
      </c>
      <c r="AB52" s="471">
        <f>IF('Market Penetration'!F52=0,0,1000*F52*'Market Data'!$E$51/('Market Penetration'!F52*'Market Data'!$C$51))</f>
        <v>124567.77939636599</v>
      </c>
      <c r="AC52" s="693">
        <f>IF('Market Penetration'!G52=0,0,1000*G52*'Market Data'!$E$51/('Market Penetration'!G52*'Market Data'!$C$51))</f>
        <v>0</v>
      </c>
      <c r="AD52" s="470">
        <f>IF('Market Penetration'!H52=0,0,1000*H52*'Market Data'!$O$51/('Market Penetration'!H52*'Market Data'!$M$51))</f>
        <v>33532.569574409368</v>
      </c>
      <c r="AE52" s="471">
        <f>IF('Market Penetration'!I52=0,0,1000*I52*'Market Data'!$O$51/('Market Penetration'!I52*'Market Data'!$M$51))</f>
        <v>91384.135536366448</v>
      </c>
      <c r="AF52" s="471">
        <f>IF('Market Penetration'!J52=0,0,1000*J52*'Market Data'!$O$51/('Market Penetration'!J52*'Market Data'!$M$51))</f>
        <v>92484.204463294096</v>
      </c>
      <c r="AG52" s="471">
        <f>IF('Market Penetration'!K52=0,0,1000*K52*'Market Data'!$O$51/('Market Penetration'!K52*'Market Data'!$M$51))</f>
        <v>54635.973317814831</v>
      </c>
      <c r="AH52" s="471">
        <f>IF('Market Penetration'!L52=0,0,1000*L52*'Market Data'!$O$51/('Market Penetration'!L52*'Market Data'!$M$51))</f>
        <v>98645.293080318384</v>
      </c>
      <c r="AI52" s="472">
        <f>IF('Market Penetration'!M52=0,0,1000*M52*'Market Data'!$O$51/('Market Penetration'!M52*'Market Data'!$M$51))</f>
        <v>0</v>
      </c>
      <c r="AJ52" s="470">
        <f>IF('Market Penetration'!N52=0,0,1000*N52*'Market Data'!$Y$51/('Market Penetration'!N52*'Market Data'!$W$51))</f>
        <v>27261.021505987566</v>
      </c>
      <c r="AK52" s="471">
        <f>IF('Market Penetration'!O52=0,0,1000*O52*'Market Data'!$Y$51/('Market Penetration'!O52*'Market Data'!$W$51))</f>
        <v>24151.051311106643</v>
      </c>
      <c r="AL52" s="471">
        <f>IF('Market Penetration'!P52=0,0,1000*P52*'Market Data'!$Y$51/('Market Penetration'!P52*'Market Data'!$W$51))</f>
        <v>24019.241762746951</v>
      </c>
      <c r="AM52" s="698">
        <f>IF('Market Penetration'!Q52=0,0,1000*Q52*'Market Data'!$Y$51/('Market Penetration'!Q52*'Market Data'!$W$51))</f>
        <v>31995.756858289296</v>
      </c>
      <c r="AN52" s="471">
        <f>IF('Market Penetration'!R52=0,0,1000*R52*'Market Data'!$Y$51/('Market Penetration'!R52*'Market Data'!$W$51))</f>
        <v>40729.877539560715</v>
      </c>
      <c r="AO52" s="693">
        <f>IF('Market Penetration'!S52=0,0,1000*S52*'Market Data'!$Y$51/('Market Penetration'!S52*'Market Data'!$W$51))</f>
        <v>0</v>
      </c>
      <c r="AP52" s="470">
        <f>IF('Market Penetration'!T52=0,0,1000*T52*('Market Data'!$E$51+'Market Data'!$O$51+'Market Data'!$Y$51)/('Market Penetration'!T52*('Market Data'!$C$51+'Market Data'!$M$51+'Market Data'!$W$51)))</f>
        <v>36923.971367221311</v>
      </c>
      <c r="AQ52" s="472">
        <f>IF('Market Penetration'!U52=0,0,1000*U52*('Market Data'!$E$51+'Market Data'!$O$51+'Market Data'!$Y$51)/('Market Penetration'!U52*('Market Data'!$C$51+'Market Data'!$M$51+'Market Data'!$W$51)))</f>
        <v>77631.148221648647</v>
      </c>
    </row>
    <row r="53" spans="1:43" x14ac:dyDescent="0.2">
      <c r="A53" s="398"/>
      <c r="B53" s="398"/>
    </row>
    <row r="54" spans="1:43" x14ac:dyDescent="0.2">
      <c r="A54" s="408" t="str">
        <f>"Run id: '"&amp;'Run Model'!B3&amp;"'"</f>
        <v>Run id: 'MDHD Benefits Analysis Preliminary Run 2020-08-27'</v>
      </c>
      <c r="B54" s="398"/>
      <c r="F54" s="1284"/>
      <c r="O54" s="1284"/>
      <c r="T54" s="1284"/>
    </row>
    <row r="55" spans="1:43" x14ac:dyDescent="0.2">
      <c r="A55" s="408" t="s">
        <v>126</v>
      </c>
      <c r="B55" s="398"/>
    </row>
    <row r="56" spans="1:43" x14ac:dyDescent="0.2">
      <c r="A56" s="473" t="str">
        <f>"Combination, Centrally Refueled: " &amp;TEXT(RtimeCls1Cent1,"mm/dd/yyyy hh:mm")</f>
        <v>Combination, Centrally Refueled: 08/27/2020 18:37</v>
      </c>
      <c r="B56" s="399"/>
    </row>
    <row r="57" spans="1:43" x14ac:dyDescent="0.2">
      <c r="A57" s="473" t="str">
        <f>"Combination, Non-Centrally Refueled: " &amp;TEXT(RtimeCls1NCent1,"mm/dd/yyyy hh:mm")</f>
        <v>Combination, Non-Centrally Refueled: 08/27/2020 18:37</v>
      </c>
    </row>
    <row r="58" spans="1:43" x14ac:dyDescent="0.2">
      <c r="A58" s="473" t="str">
        <f>"Single Unit, Centrally Refueled: " &amp;TEXT(RtimeCls2Cent1,"mm/dd/yyyy hh:mm")</f>
        <v>Single Unit, Centrally Refueled: 08/27/2020 18:37</v>
      </c>
    </row>
    <row r="59" spans="1:43" x14ac:dyDescent="0.2">
      <c r="A59" s="473" t="str">
        <f>"Single Unit, Non-Centrally Refueled: " &amp;TEXT(RtimeCls2NCent1,"mm/dd/yyyy hh:mm")</f>
        <v>Single Unit, Non-Centrally Refueled: 08/27/2020 18:37</v>
      </c>
    </row>
  </sheetData>
  <mergeCells count="18">
    <mergeCell ref="B5:G5"/>
    <mergeCell ref="B4:G4"/>
    <mergeCell ref="AP5:AQ5"/>
    <mergeCell ref="AP4:AQ4"/>
    <mergeCell ref="A3:U3"/>
    <mergeCell ref="W3:AQ3"/>
    <mergeCell ref="T5:U5"/>
    <mergeCell ref="T4:U4"/>
    <mergeCell ref="N5:S5"/>
    <mergeCell ref="N4:S4"/>
    <mergeCell ref="X4:AC4"/>
    <mergeCell ref="AD4:AI4"/>
    <mergeCell ref="AJ4:AO4"/>
    <mergeCell ref="X5:AC5"/>
    <mergeCell ref="AD5:AI5"/>
    <mergeCell ref="AJ5:AO5"/>
    <mergeCell ref="H5:M5"/>
    <mergeCell ref="H4:M4"/>
  </mergeCells>
  <phoneticPr fontId="59" type="noConversion"/>
  <conditionalFormatting sqref="B6:S52 X6:AO52">
    <cfRule type="expression" dxfId="11"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9" activePane="bottomLeft" state="frozen"/>
      <selection pane="bottomLeft" activeCell="F47" sqref="F47"/>
    </sheetView>
  </sheetViews>
  <sheetFormatPr defaultColWidth="9.140625" defaultRowHeight="12.75" x14ac:dyDescent="0.2"/>
  <cols>
    <col min="1" max="1" width="9.140625" style="397"/>
    <col min="2" max="2" width="13.28515625" style="397" customWidth="1"/>
    <col min="3" max="7" width="10.42578125" style="397" customWidth="1"/>
    <col min="8" max="8" width="13.85546875" style="397" customWidth="1"/>
    <col min="9" max="13" width="10.42578125" style="397" customWidth="1"/>
    <col min="14" max="14" width="13.28515625" style="397" customWidth="1"/>
    <col min="15" max="15" width="11.28515625" style="397" bestFit="1" customWidth="1"/>
    <col min="16" max="17" width="9.140625" style="397"/>
    <col min="18" max="18" width="10.42578125" style="397" customWidth="1"/>
    <col min="19" max="20" width="9.140625" style="397"/>
    <col min="21" max="21" width="11.7109375" style="397" customWidth="1"/>
    <col min="22" max="25" width="9.140625" style="397"/>
    <col min="26" max="26" width="9.42578125" style="397" customWidth="1"/>
    <col min="27" max="16384" width="9.140625" style="397"/>
  </cols>
  <sheetData>
    <row r="1" spans="1:26" x14ac:dyDescent="0.2">
      <c r="A1" s="861" t="s">
        <v>261</v>
      </c>
    </row>
    <row r="3" spans="1:26" ht="19.5" thickBot="1" x14ac:dyDescent="0.35">
      <c r="A3" s="1583" t="s">
        <v>128</v>
      </c>
      <c r="B3" s="1584"/>
      <c r="C3" s="1584"/>
      <c r="D3" s="1584"/>
      <c r="E3" s="1584"/>
      <c r="F3" s="1584"/>
      <c r="G3" s="1584"/>
      <c r="H3" s="1584"/>
      <c r="I3" s="1584"/>
      <c r="J3" s="1584"/>
      <c r="K3" s="1584"/>
      <c r="L3" s="1584"/>
      <c r="M3" s="1584"/>
      <c r="N3" s="1584"/>
      <c r="O3" s="1584"/>
      <c r="P3" s="1584"/>
      <c r="Q3" s="1584"/>
      <c r="R3" s="1584"/>
      <c r="S3" s="1584"/>
      <c r="T3" s="1584"/>
      <c r="U3" s="1584"/>
    </row>
    <row r="4" spans="1:26" ht="15" x14ac:dyDescent="0.25">
      <c r="A4" s="400"/>
      <c r="B4" s="1585" t="s">
        <v>249</v>
      </c>
      <c r="C4" s="1586"/>
      <c r="D4" s="1586"/>
      <c r="E4" s="1586"/>
      <c r="F4" s="1586"/>
      <c r="G4" s="1587"/>
      <c r="H4" s="1585" t="s">
        <v>250</v>
      </c>
      <c r="I4" s="1586"/>
      <c r="J4" s="1586"/>
      <c r="K4" s="1586"/>
      <c r="L4" s="1586"/>
      <c r="M4" s="1587"/>
      <c r="N4" s="1585" t="s">
        <v>154</v>
      </c>
      <c r="O4" s="1586"/>
      <c r="P4" s="1586"/>
      <c r="Q4" s="1586"/>
      <c r="R4" s="1586"/>
      <c r="S4" s="1587"/>
      <c r="T4" s="1592" t="s">
        <v>153</v>
      </c>
      <c r="U4" s="1593"/>
    </row>
    <row r="5" spans="1:26" ht="15" x14ac:dyDescent="0.25">
      <c r="A5" s="401"/>
      <c r="B5" s="1588" t="s">
        <v>129</v>
      </c>
      <c r="C5" s="1589"/>
      <c r="D5" s="1589"/>
      <c r="E5" s="1589"/>
      <c r="F5" s="1589"/>
      <c r="G5" s="1590"/>
      <c r="H5" s="1588" t="s">
        <v>129</v>
      </c>
      <c r="I5" s="1589"/>
      <c r="J5" s="1589"/>
      <c r="K5" s="1589"/>
      <c r="L5" s="1589"/>
      <c r="M5" s="1590"/>
      <c r="N5" s="1588" t="s">
        <v>129</v>
      </c>
      <c r="O5" s="1589"/>
      <c r="P5" s="1589"/>
      <c r="Q5" s="1589"/>
      <c r="R5" s="1589"/>
      <c r="S5" s="1590"/>
      <c r="T5" s="1591" t="s">
        <v>129</v>
      </c>
      <c r="U5" s="1570"/>
    </row>
    <row r="6" spans="1:26" ht="15" x14ac:dyDescent="0.25">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9"/>
      <c r="U6" s="650"/>
      <c r="V6" s="397" t="s">
        <v>357</v>
      </c>
    </row>
    <row r="7" spans="1:26" s="848" customFormat="1" ht="30" x14ac:dyDescent="0.2">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46" t="s">
        <v>70</v>
      </c>
      <c r="U7" s="847" t="s">
        <v>138</v>
      </c>
      <c r="V7" s="848" t="s">
        <v>321</v>
      </c>
      <c r="W7" s="848" t="s">
        <v>322</v>
      </c>
      <c r="X7" s="848" t="s">
        <v>324</v>
      </c>
      <c r="Y7" s="848" t="s">
        <v>323</v>
      </c>
      <c r="Z7" s="848" t="s">
        <v>356</v>
      </c>
    </row>
    <row r="8" spans="1:26" ht="30.75" thickBot="1" x14ac:dyDescent="0.3">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9"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666"/>
      <c r="U8" s="418"/>
    </row>
    <row r="9" spans="1:26" ht="15.75" thickTop="1" x14ac:dyDescent="0.25">
      <c r="A9" s="403">
        <v>2007</v>
      </c>
      <c r="B9" s="672">
        <f>1-SUM(C9:G9)</f>
        <v>1</v>
      </c>
      <c r="C9" s="673">
        <f>'7&amp;8 Sleep'!$N76+'7&amp;8 Sleep'!$AA76</f>
        <v>0</v>
      </c>
      <c r="D9" s="673">
        <f>'7&amp;8 Sleep'!$N128+'7&amp;8 Sleep'!$AA128</f>
        <v>0</v>
      </c>
      <c r="E9" s="673">
        <f>'7&amp;8 Sleep'!$N180+'7&amp;8 Sleep'!$AA180</f>
        <v>0</v>
      </c>
      <c r="F9" s="673">
        <f>'7&amp;8 Sleep'!$N233+'7&amp;8 Sleep'!$AA233</f>
        <v>0</v>
      </c>
      <c r="G9" s="674">
        <f>'7&amp;8 Sleep'!$N286+'7&amp;8 Sleep'!$AA286</f>
        <v>0</v>
      </c>
      <c r="H9" s="657">
        <f>1-SUM(I9:M9)</f>
        <v>1</v>
      </c>
      <c r="I9" s="657">
        <f>'7&amp;8 Day'!$N76+'7&amp;8 Day'!$AA76</f>
        <v>0</v>
      </c>
      <c r="J9" s="657">
        <f>'7&amp;8 Day'!$N128+'7&amp;8 Day'!$AA128</f>
        <v>0</v>
      </c>
      <c r="K9" s="657">
        <f>'7&amp;8 Day'!$N180+'7&amp;8 Day'!$AA180</f>
        <v>0</v>
      </c>
      <c r="L9" s="657">
        <f>'7&amp;8 Day'!$N233+'7&amp;8 Day'!$AA233</f>
        <v>0</v>
      </c>
      <c r="M9" s="657">
        <f>'7&amp;8 Day'!$N286+'7&amp;8 Day'!$AA286</f>
        <v>0</v>
      </c>
      <c r="N9" s="672">
        <f>1-SUM(O9:S9)</f>
        <v>1</v>
      </c>
      <c r="O9" s="673">
        <f>'7&amp;8 SU'!$N76+'7&amp;8 SU'!$AA76</f>
        <v>0</v>
      </c>
      <c r="P9" s="673">
        <f>'7&amp;8 SU'!$N128+'7&amp;8 SU'!$AA128</f>
        <v>0</v>
      </c>
      <c r="Q9" s="673">
        <f>'7&amp;8 SU'!$N180+'7&amp;8 SU'!$AA180</f>
        <v>0</v>
      </c>
      <c r="R9" s="673">
        <f>'7&amp;8 SU'!$N233+'7&amp;8 SU'!$AA233</f>
        <v>0</v>
      </c>
      <c r="S9" s="674">
        <f>'7&amp;8 SU'!$N286+'7&amp;8 SU'!$AA286</f>
        <v>0</v>
      </c>
      <c r="T9" s="664">
        <f>B9*'Market Data'!$C$52+H9*'Market Data'!$M$52+N9*'Market Data'!$W$52</f>
        <v>1</v>
      </c>
      <c r="U9" s="432">
        <f>SUM(C9:G9)*'Market Data'!$C$52+SUM(I9:M9)*'Market Data'!$M$52+SUM(O9:S9)*'Market Data'!$W$52</f>
        <v>0</v>
      </c>
      <c r="X9" s="117"/>
    </row>
    <row r="10" spans="1:26" ht="15" x14ac:dyDescent="0.25">
      <c r="A10" s="403">
        <v>2008</v>
      </c>
      <c r="B10" s="675">
        <f t="shared" ref="B10:B52" si="6">1-SUM(C10:G10)</f>
        <v>1</v>
      </c>
      <c r="C10" s="676">
        <f>'7&amp;8 Sleep'!$N77+'7&amp;8 Sleep'!$AA77</f>
        <v>0</v>
      </c>
      <c r="D10" s="676">
        <f>'7&amp;8 Sleep'!$N129+'7&amp;8 Sleep'!$AA129</f>
        <v>0</v>
      </c>
      <c r="E10" s="676">
        <f>'7&amp;8 Sleep'!$N181+'7&amp;8 Sleep'!$AA181</f>
        <v>0</v>
      </c>
      <c r="F10" s="676">
        <f>'7&amp;8 Sleep'!$N234+'7&amp;8 Sleep'!$AA234</f>
        <v>0</v>
      </c>
      <c r="G10" s="677">
        <f>'7&amp;8 Sleep'!$N287+'7&amp;8 Sleep'!$AA287</f>
        <v>0</v>
      </c>
      <c r="H10" s="658">
        <f t="shared" ref="H10:H52" si="7">1-SUM(I10:M10)</f>
        <v>1</v>
      </c>
      <c r="I10" s="658">
        <f>'7&amp;8 Day'!$N77+'7&amp;8 Day'!$AA77</f>
        <v>0</v>
      </c>
      <c r="J10" s="658">
        <f>'7&amp;8 Day'!$N129+'7&amp;8 Day'!$AA129</f>
        <v>0</v>
      </c>
      <c r="K10" s="658">
        <f>'7&amp;8 Day'!$N181+'7&amp;8 Day'!$AA181</f>
        <v>0</v>
      </c>
      <c r="L10" s="658">
        <f>'7&amp;8 Day'!$N234+'7&amp;8 Day'!$AA234</f>
        <v>0</v>
      </c>
      <c r="M10" s="658">
        <f>'7&amp;8 Day'!$N287+'7&amp;8 Day'!$AA287</f>
        <v>0</v>
      </c>
      <c r="N10" s="675">
        <f t="shared" ref="N10:N52" si="8">1-SUM(O10:S10)</f>
        <v>1</v>
      </c>
      <c r="O10" s="676">
        <f>'7&amp;8 SU'!$N77+'7&amp;8 SU'!$AA77</f>
        <v>0</v>
      </c>
      <c r="P10" s="676">
        <f>'7&amp;8 SU'!$N129+'7&amp;8 SU'!$AA129</f>
        <v>0</v>
      </c>
      <c r="Q10" s="676">
        <f>'7&amp;8 SU'!$N181+'7&amp;8 SU'!$AA181</f>
        <v>0</v>
      </c>
      <c r="R10" s="676">
        <f>'7&amp;8 SU'!$N234+'7&amp;8 SU'!$AA234</f>
        <v>0</v>
      </c>
      <c r="S10" s="677">
        <f>'7&amp;8 SU'!$N287+'7&amp;8 SU'!$AA287</f>
        <v>0</v>
      </c>
      <c r="T10" s="662">
        <f>B10*'Market Data'!$C$52+H10*'Market Data'!$M$52+N10*'Market Data'!$W$52</f>
        <v>1</v>
      </c>
      <c r="U10" s="425">
        <f>SUM(C10:G10)*'Market Data'!$C$52+SUM(I10:M10)*'Market Data'!$M$52+SUM(O10:S10)*'Market Data'!$W$52</f>
        <v>0</v>
      </c>
      <c r="X10" s="117"/>
    </row>
    <row r="11" spans="1:26" ht="15" x14ac:dyDescent="0.25">
      <c r="A11" s="403">
        <v>2009</v>
      </c>
      <c r="B11" s="675">
        <f t="shared" si="6"/>
        <v>1</v>
      </c>
      <c r="C11" s="676">
        <f>'7&amp;8 Sleep'!$N78+'7&amp;8 Sleep'!$AA78</f>
        <v>0</v>
      </c>
      <c r="D11" s="676">
        <f>'7&amp;8 Sleep'!$N130+'7&amp;8 Sleep'!$AA130</f>
        <v>0</v>
      </c>
      <c r="E11" s="676">
        <f>'7&amp;8 Sleep'!$N182+'7&amp;8 Sleep'!$AA182</f>
        <v>0</v>
      </c>
      <c r="F11" s="676">
        <f>'7&amp;8 Sleep'!$N235+'7&amp;8 Sleep'!$AA235</f>
        <v>0</v>
      </c>
      <c r="G11" s="677">
        <f>'7&amp;8 Sleep'!$N288+'7&amp;8 Sleep'!$AA288</f>
        <v>0</v>
      </c>
      <c r="H11" s="658">
        <f t="shared" si="7"/>
        <v>1</v>
      </c>
      <c r="I11" s="658">
        <f>'7&amp;8 Day'!$N78+'7&amp;8 Day'!$AA78</f>
        <v>0</v>
      </c>
      <c r="J11" s="658">
        <f>'7&amp;8 Day'!$N130+'7&amp;8 Day'!$AA130</f>
        <v>0</v>
      </c>
      <c r="K11" s="658">
        <f>'7&amp;8 Day'!$N182+'7&amp;8 Day'!$AA182</f>
        <v>0</v>
      </c>
      <c r="L11" s="658">
        <f>'7&amp;8 Day'!$N235+'7&amp;8 Day'!$AA235</f>
        <v>0</v>
      </c>
      <c r="M11" s="658">
        <f>'7&amp;8 Day'!$N288+'7&amp;8 Day'!$AA288</f>
        <v>0</v>
      </c>
      <c r="N11" s="675">
        <f t="shared" si="8"/>
        <v>1</v>
      </c>
      <c r="O11" s="676">
        <f>'7&amp;8 SU'!$N78+'7&amp;8 SU'!$AA78</f>
        <v>0</v>
      </c>
      <c r="P11" s="676">
        <f>'7&amp;8 SU'!$N130+'7&amp;8 SU'!$AA130</f>
        <v>0</v>
      </c>
      <c r="Q11" s="676">
        <f>'7&amp;8 SU'!$N182+'7&amp;8 SU'!$AA182</f>
        <v>0</v>
      </c>
      <c r="R11" s="676">
        <f>'7&amp;8 SU'!$N235+'7&amp;8 SU'!$AA235</f>
        <v>0</v>
      </c>
      <c r="S11" s="677">
        <f>'7&amp;8 SU'!$N288+'7&amp;8 SU'!$AA288</f>
        <v>0</v>
      </c>
      <c r="T11" s="662">
        <f>B11*'Market Data'!$C$52+H11*'Market Data'!$M$52+N11*'Market Data'!$W$52</f>
        <v>1</v>
      </c>
      <c r="U11" s="425">
        <f>SUM(C11:G11)*'Market Data'!$C$52+SUM(I11:M11)*'Market Data'!$M$52+SUM(O11:S11)*'Market Data'!$W$52</f>
        <v>0</v>
      </c>
      <c r="X11" s="117"/>
    </row>
    <row r="12" spans="1:26" ht="15" x14ac:dyDescent="0.25">
      <c r="A12" s="402">
        <v>2010</v>
      </c>
      <c r="B12" s="678">
        <f t="shared" si="6"/>
        <v>1</v>
      </c>
      <c r="C12" s="679">
        <f>'7&amp;8 Sleep'!$N79+'7&amp;8 Sleep'!$AA79</f>
        <v>0</v>
      </c>
      <c r="D12" s="679">
        <f>'7&amp;8 Sleep'!$N131+'7&amp;8 Sleep'!$AA131</f>
        <v>0</v>
      </c>
      <c r="E12" s="679">
        <f>'7&amp;8 Sleep'!$N183+'7&amp;8 Sleep'!$AA183</f>
        <v>0</v>
      </c>
      <c r="F12" s="679">
        <f>'7&amp;8 Sleep'!$N236+'7&amp;8 Sleep'!$AA236</f>
        <v>0</v>
      </c>
      <c r="G12" s="680">
        <f>'7&amp;8 Sleep'!$N289+'7&amp;8 Sleep'!$AA289</f>
        <v>0</v>
      </c>
      <c r="H12" s="659">
        <f t="shared" si="7"/>
        <v>1</v>
      </c>
      <c r="I12" s="659">
        <f>'7&amp;8 Day'!$N79+'7&amp;8 Day'!$AA79</f>
        <v>0</v>
      </c>
      <c r="J12" s="659">
        <f>'7&amp;8 Day'!$N131+'7&amp;8 Day'!$AA131</f>
        <v>0</v>
      </c>
      <c r="K12" s="659">
        <f>'7&amp;8 Day'!$N183+'7&amp;8 Day'!$AA183</f>
        <v>0</v>
      </c>
      <c r="L12" s="659">
        <f>'7&amp;8 Day'!$N236+'7&amp;8 Day'!$AA236</f>
        <v>0</v>
      </c>
      <c r="M12" s="659">
        <f>'7&amp;8 Day'!$N289+'7&amp;8 Day'!$AA289</f>
        <v>0</v>
      </c>
      <c r="N12" s="678">
        <f t="shared" si="8"/>
        <v>1</v>
      </c>
      <c r="O12" s="679">
        <f>'7&amp;8 SU'!$N79+'7&amp;8 SU'!$AA79</f>
        <v>0</v>
      </c>
      <c r="P12" s="679">
        <f>'7&amp;8 SU'!$N131+'7&amp;8 SU'!$AA131</f>
        <v>0</v>
      </c>
      <c r="Q12" s="679">
        <f>'7&amp;8 SU'!$N183+'7&amp;8 SU'!$AA183</f>
        <v>0</v>
      </c>
      <c r="R12" s="679">
        <f>'7&amp;8 SU'!$N236+'7&amp;8 SU'!$AA236</f>
        <v>0</v>
      </c>
      <c r="S12" s="680">
        <f>'7&amp;8 SU'!$N289+'7&amp;8 SU'!$AA289</f>
        <v>0</v>
      </c>
      <c r="T12" s="663">
        <f>B12*'Market Data'!$C$52+H12*'Market Data'!$M$52+N12*'Market Data'!$W$52</f>
        <v>1</v>
      </c>
      <c r="U12" s="428">
        <f>SUM(C12:G12)*'Market Data'!$C$52+SUM(I12:M12)*'Market Data'!$M$52+SUM(O12:S12)*'Market Data'!$W$52</f>
        <v>0</v>
      </c>
      <c r="X12" s="117"/>
    </row>
    <row r="13" spans="1:26" ht="15" x14ac:dyDescent="0.25">
      <c r="A13" s="648">
        <v>2011</v>
      </c>
      <c r="B13" s="683">
        <f t="shared" si="6"/>
        <v>1</v>
      </c>
      <c r="C13" s="684">
        <f>'7&amp;8 Sleep'!$N80+'7&amp;8 Sleep'!$AA80</f>
        <v>0</v>
      </c>
      <c r="D13" s="684">
        <f>'7&amp;8 Sleep'!$N132+'7&amp;8 Sleep'!$AA132</f>
        <v>0</v>
      </c>
      <c r="E13" s="684">
        <f>'7&amp;8 Sleep'!$N184+'7&amp;8 Sleep'!$AA184</f>
        <v>0</v>
      </c>
      <c r="F13" s="684">
        <f>'7&amp;8 Sleep'!$N237+'7&amp;8 Sleep'!$AA237</f>
        <v>0</v>
      </c>
      <c r="G13" s="685">
        <f>'7&amp;8 Sleep'!$N290+'7&amp;8 Sleep'!$AA290</f>
        <v>0</v>
      </c>
      <c r="H13" s="660">
        <f t="shared" si="7"/>
        <v>1</v>
      </c>
      <c r="I13" s="660">
        <f>'7&amp;8 Day'!$N80+'7&amp;8 Day'!$AA80</f>
        <v>0</v>
      </c>
      <c r="J13" s="660">
        <f>'7&amp;8 Day'!$N132+'7&amp;8 Day'!$AA132</f>
        <v>0</v>
      </c>
      <c r="K13" s="660">
        <f>'7&amp;8 Day'!$N184+'7&amp;8 Day'!$AA184</f>
        <v>0</v>
      </c>
      <c r="L13" s="660">
        <f>'7&amp;8 Day'!$N237+'7&amp;8 Day'!$AA237</f>
        <v>0</v>
      </c>
      <c r="M13" s="660">
        <f>'7&amp;8 Day'!$N290+'7&amp;8 Day'!$AA290</f>
        <v>0</v>
      </c>
      <c r="N13" s="683">
        <f t="shared" si="8"/>
        <v>1</v>
      </c>
      <c r="O13" s="684">
        <f>'7&amp;8 SU'!$N80+'7&amp;8 SU'!$AA80</f>
        <v>0</v>
      </c>
      <c r="P13" s="684">
        <f>'7&amp;8 SU'!$N132+'7&amp;8 SU'!$AA132</f>
        <v>0</v>
      </c>
      <c r="Q13" s="684">
        <f>'7&amp;8 SU'!$N184+'7&amp;8 SU'!$AA184</f>
        <v>0</v>
      </c>
      <c r="R13" s="684">
        <f>'7&amp;8 SU'!$N237+'7&amp;8 SU'!$AA237</f>
        <v>0</v>
      </c>
      <c r="S13" s="685">
        <f>'7&amp;8 SU'!$N290+'7&amp;8 SU'!$AA290</f>
        <v>0</v>
      </c>
      <c r="T13" s="664">
        <f>B13*'Market Data'!$C$52+H13*'Market Data'!$M$52+N13*'Market Data'!$W$52</f>
        <v>1</v>
      </c>
      <c r="U13" s="432">
        <f>SUM(C13:G13)*'Market Data'!$C$52+SUM(I13:M13)*'Market Data'!$M$52+SUM(O13:S13)*'Market Data'!$W$52</f>
        <v>0</v>
      </c>
      <c r="X13" s="117"/>
    </row>
    <row r="14" spans="1:26" ht="15" x14ac:dyDescent="0.25">
      <c r="A14" s="403">
        <v>2012</v>
      </c>
      <c r="B14" s="675">
        <f t="shared" si="6"/>
        <v>1</v>
      </c>
      <c r="C14" s="676">
        <f>'7&amp;8 Sleep'!$N81+'7&amp;8 Sleep'!$AA81</f>
        <v>0</v>
      </c>
      <c r="D14" s="676">
        <f>'7&amp;8 Sleep'!$N133+'7&amp;8 Sleep'!$AA133</f>
        <v>0</v>
      </c>
      <c r="E14" s="676">
        <f>'7&amp;8 Sleep'!$N185+'7&amp;8 Sleep'!$AA185</f>
        <v>0</v>
      </c>
      <c r="F14" s="676">
        <f>'7&amp;8 Sleep'!$N238+'7&amp;8 Sleep'!$AA238</f>
        <v>0</v>
      </c>
      <c r="G14" s="677">
        <f>'7&amp;8 Sleep'!$N291+'7&amp;8 Sleep'!$AA291</f>
        <v>0</v>
      </c>
      <c r="H14" s="658">
        <f t="shared" si="7"/>
        <v>1</v>
      </c>
      <c r="I14" s="658">
        <f>'7&amp;8 Day'!$N81+'7&amp;8 Day'!$AA81</f>
        <v>0</v>
      </c>
      <c r="J14" s="658">
        <f>'7&amp;8 Day'!$N133+'7&amp;8 Day'!$AA133</f>
        <v>0</v>
      </c>
      <c r="K14" s="658">
        <f>'7&amp;8 Day'!$N185+'7&amp;8 Day'!$AA185</f>
        <v>0</v>
      </c>
      <c r="L14" s="658">
        <f>'7&amp;8 Day'!$N238+'7&amp;8 Day'!$AA238</f>
        <v>0</v>
      </c>
      <c r="M14" s="658">
        <f>'7&amp;8 Day'!$N291+'7&amp;8 Day'!$AA291</f>
        <v>0</v>
      </c>
      <c r="N14" s="675">
        <f t="shared" si="8"/>
        <v>1</v>
      </c>
      <c r="O14" s="676">
        <f>'7&amp;8 SU'!$N81+'7&amp;8 SU'!$AA81</f>
        <v>0</v>
      </c>
      <c r="P14" s="676">
        <f>'7&amp;8 SU'!$N133+'7&amp;8 SU'!$AA133</f>
        <v>0</v>
      </c>
      <c r="Q14" s="676">
        <f>'7&amp;8 SU'!$N185+'7&amp;8 SU'!$AA185</f>
        <v>0</v>
      </c>
      <c r="R14" s="676">
        <f>'7&amp;8 SU'!$N238+'7&amp;8 SU'!$AA238</f>
        <v>0</v>
      </c>
      <c r="S14" s="677">
        <f>'7&amp;8 SU'!$N291+'7&amp;8 SU'!$AA291</f>
        <v>0</v>
      </c>
      <c r="T14" s="662">
        <f>B14*'Market Data'!$C$52+H14*'Market Data'!$M$52+N14*'Market Data'!$W$52</f>
        <v>1</v>
      </c>
      <c r="U14" s="425">
        <f>SUM(C14:G14)*'Market Data'!$C$52+SUM(I14:M14)*'Market Data'!$M$52+SUM(O14:S14)*'Market Data'!$W$52</f>
        <v>0</v>
      </c>
      <c r="X14" s="117"/>
    </row>
    <row r="15" spans="1:26" ht="15" x14ac:dyDescent="0.25">
      <c r="A15" s="403">
        <v>2013</v>
      </c>
      <c r="B15" s="675">
        <f t="shared" si="6"/>
        <v>1</v>
      </c>
      <c r="C15" s="676">
        <f>'7&amp;8 Sleep'!$N82+'7&amp;8 Sleep'!$AA82</f>
        <v>0</v>
      </c>
      <c r="D15" s="676">
        <f>'7&amp;8 Sleep'!$N134+'7&amp;8 Sleep'!$AA134</f>
        <v>0</v>
      </c>
      <c r="E15" s="676">
        <f>'7&amp;8 Sleep'!$N186+'7&amp;8 Sleep'!$AA186</f>
        <v>0</v>
      </c>
      <c r="F15" s="676">
        <f>'7&amp;8 Sleep'!$N239+'7&amp;8 Sleep'!$AA239</f>
        <v>0</v>
      </c>
      <c r="G15" s="677">
        <f>'7&amp;8 Sleep'!$N292+'7&amp;8 Sleep'!$AA292</f>
        <v>0</v>
      </c>
      <c r="H15" s="658">
        <f t="shared" si="7"/>
        <v>1</v>
      </c>
      <c r="I15" s="658">
        <f>'7&amp;8 Day'!$N82+'7&amp;8 Day'!$AA82</f>
        <v>0</v>
      </c>
      <c r="J15" s="658">
        <f>'7&amp;8 Day'!$N134+'7&amp;8 Day'!$AA134</f>
        <v>0</v>
      </c>
      <c r="K15" s="658">
        <f>'7&amp;8 Day'!$N186+'7&amp;8 Day'!$AA186</f>
        <v>0</v>
      </c>
      <c r="L15" s="658">
        <f>'7&amp;8 Day'!$N239+'7&amp;8 Day'!$AA239</f>
        <v>0</v>
      </c>
      <c r="M15" s="658">
        <f>'7&amp;8 Day'!$N292+'7&amp;8 Day'!$AA292</f>
        <v>0</v>
      </c>
      <c r="N15" s="675">
        <f t="shared" si="8"/>
        <v>1</v>
      </c>
      <c r="O15" s="676">
        <f>'7&amp;8 SU'!$N82+'7&amp;8 SU'!$AA82</f>
        <v>0</v>
      </c>
      <c r="P15" s="676">
        <f>'7&amp;8 SU'!$N134+'7&amp;8 SU'!$AA134</f>
        <v>0</v>
      </c>
      <c r="Q15" s="676">
        <f>'7&amp;8 SU'!$N186+'7&amp;8 SU'!$AA186</f>
        <v>0</v>
      </c>
      <c r="R15" s="676">
        <f>'7&amp;8 SU'!$N239+'7&amp;8 SU'!$AA239</f>
        <v>0</v>
      </c>
      <c r="S15" s="677">
        <f>'7&amp;8 SU'!$N292+'7&amp;8 SU'!$AA292</f>
        <v>0</v>
      </c>
      <c r="T15" s="662">
        <f>B15*'Market Data'!$C$52+H15*'Market Data'!$M$52+N15*'Market Data'!$W$52</f>
        <v>1</v>
      </c>
      <c r="U15" s="425">
        <f>SUM(C15:G15)*'Market Data'!$C$52+SUM(I15:M15)*'Market Data'!$M$52+SUM(O15:S15)*'Market Data'!$W$52</f>
        <v>0</v>
      </c>
      <c r="X15" s="117"/>
    </row>
    <row r="16" spans="1:26" ht="15" x14ac:dyDescent="0.25">
      <c r="A16" s="403">
        <v>2014</v>
      </c>
      <c r="B16" s="675">
        <f t="shared" si="6"/>
        <v>1</v>
      </c>
      <c r="C16" s="676">
        <f>'7&amp;8 Sleep'!$N83+'7&amp;8 Sleep'!$AA83</f>
        <v>0</v>
      </c>
      <c r="D16" s="676">
        <f>'7&amp;8 Sleep'!$N135+'7&amp;8 Sleep'!$AA135</f>
        <v>0</v>
      </c>
      <c r="E16" s="676">
        <f>'7&amp;8 Sleep'!$N187+'7&amp;8 Sleep'!$AA187</f>
        <v>0</v>
      </c>
      <c r="F16" s="676">
        <f>'7&amp;8 Sleep'!$N240+'7&amp;8 Sleep'!$AA240</f>
        <v>0</v>
      </c>
      <c r="G16" s="677">
        <f>'7&amp;8 Sleep'!$N293+'7&amp;8 Sleep'!$AA293</f>
        <v>0</v>
      </c>
      <c r="H16" s="658">
        <f t="shared" si="7"/>
        <v>1</v>
      </c>
      <c r="I16" s="658">
        <f>'7&amp;8 Day'!$N83+'7&amp;8 Day'!$AA83</f>
        <v>0</v>
      </c>
      <c r="J16" s="658">
        <f>'7&amp;8 Day'!$N135+'7&amp;8 Day'!$AA135</f>
        <v>0</v>
      </c>
      <c r="K16" s="658">
        <f>'7&amp;8 Day'!$N187+'7&amp;8 Day'!$AA187</f>
        <v>0</v>
      </c>
      <c r="L16" s="658">
        <f>'7&amp;8 Day'!$N240+'7&amp;8 Day'!$AA240</f>
        <v>0</v>
      </c>
      <c r="M16" s="658">
        <f>'7&amp;8 Day'!$N293+'7&amp;8 Day'!$AA293</f>
        <v>0</v>
      </c>
      <c r="N16" s="675">
        <f t="shared" si="8"/>
        <v>1</v>
      </c>
      <c r="O16" s="676">
        <f>'7&amp;8 SU'!$N83+'7&amp;8 SU'!$AA83</f>
        <v>0</v>
      </c>
      <c r="P16" s="676">
        <f>'7&amp;8 SU'!$N135+'7&amp;8 SU'!$AA135</f>
        <v>0</v>
      </c>
      <c r="Q16" s="676">
        <f>'7&amp;8 SU'!$N187+'7&amp;8 SU'!$AA187</f>
        <v>0</v>
      </c>
      <c r="R16" s="676">
        <f>'7&amp;8 SU'!$N240+'7&amp;8 SU'!$AA240</f>
        <v>0</v>
      </c>
      <c r="S16" s="677">
        <f>'7&amp;8 SU'!$N293+'7&amp;8 SU'!$AA293</f>
        <v>0</v>
      </c>
      <c r="T16" s="662">
        <f>B16*'Market Data'!$C$52+H16*'Market Data'!$M$52+N16*'Market Data'!$W$52</f>
        <v>1</v>
      </c>
      <c r="U16" s="425">
        <f>SUM(C16:G16)*'Market Data'!$C$52+SUM(I16:M16)*'Market Data'!$M$52+SUM(O16:S16)*'Market Data'!$W$52</f>
        <v>0</v>
      </c>
      <c r="X16" s="117"/>
    </row>
    <row r="17" spans="1:26" ht="15" x14ac:dyDescent="0.25">
      <c r="A17" s="402">
        <v>2015</v>
      </c>
      <c r="B17" s="678">
        <f t="shared" si="6"/>
        <v>1</v>
      </c>
      <c r="C17" s="679">
        <f>'7&amp;8 Sleep'!$N84+'7&amp;8 Sleep'!$AA84</f>
        <v>0</v>
      </c>
      <c r="D17" s="679">
        <f>'7&amp;8 Sleep'!$N136+'7&amp;8 Sleep'!$AA136</f>
        <v>0</v>
      </c>
      <c r="E17" s="679">
        <f>'7&amp;8 Sleep'!$N188+'7&amp;8 Sleep'!$AA188</f>
        <v>0</v>
      </c>
      <c r="F17" s="679">
        <f>'7&amp;8 Sleep'!$N241+'7&amp;8 Sleep'!$AA241</f>
        <v>0</v>
      </c>
      <c r="G17" s="680">
        <f>'7&amp;8 Sleep'!$N294+'7&amp;8 Sleep'!$AA294</f>
        <v>0</v>
      </c>
      <c r="H17" s="659">
        <f t="shared" si="7"/>
        <v>1</v>
      </c>
      <c r="I17" s="659">
        <f>'7&amp;8 Day'!$N84+'7&amp;8 Day'!$AA84</f>
        <v>0</v>
      </c>
      <c r="J17" s="659">
        <f>'7&amp;8 Day'!$N136+'7&amp;8 Day'!$AA136</f>
        <v>0</v>
      </c>
      <c r="K17" s="659">
        <f>'7&amp;8 Day'!$N188+'7&amp;8 Day'!$AA188</f>
        <v>0</v>
      </c>
      <c r="L17" s="659">
        <f>'7&amp;8 Day'!$N241+'7&amp;8 Day'!$AA241</f>
        <v>0</v>
      </c>
      <c r="M17" s="659">
        <f>'7&amp;8 Day'!$N294+'7&amp;8 Day'!$AA294</f>
        <v>0</v>
      </c>
      <c r="N17" s="678">
        <f t="shared" si="8"/>
        <v>1</v>
      </c>
      <c r="O17" s="679">
        <f>'7&amp;8 SU'!$N84+'7&amp;8 SU'!$AA84</f>
        <v>0</v>
      </c>
      <c r="P17" s="679">
        <f>'7&amp;8 SU'!$N136+'7&amp;8 SU'!$AA136</f>
        <v>0</v>
      </c>
      <c r="Q17" s="679">
        <f>'7&amp;8 SU'!$N188+'7&amp;8 SU'!$AA188</f>
        <v>0</v>
      </c>
      <c r="R17" s="679">
        <f>'7&amp;8 SU'!$N241+'7&amp;8 SU'!$AA241</f>
        <v>0</v>
      </c>
      <c r="S17" s="680">
        <f>'7&amp;8 SU'!$N294+'7&amp;8 SU'!$AA294</f>
        <v>0</v>
      </c>
      <c r="T17" s="663">
        <f>B17*'Market Data'!$C$52+H17*'Market Data'!$M$52+N17*'Market Data'!$W$52</f>
        <v>1</v>
      </c>
      <c r="U17" s="428">
        <f>SUM(C17:G17)*'Market Data'!$C$52+SUM(I17:M17)*'Market Data'!$M$52+SUM(O17:S17)*'Market Data'!$W$52</f>
        <v>0</v>
      </c>
      <c r="X17" s="117"/>
    </row>
    <row r="18" spans="1:26" ht="15" x14ac:dyDescent="0.25">
      <c r="A18" s="648">
        <v>2016</v>
      </c>
      <c r="B18" s="683">
        <f t="shared" si="6"/>
        <v>1</v>
      </c>
      <c r="C18" s="684">
        <f>'7&amp;8 Sleep'!$N85+'7&amp;8 Sleep'!$AA85</f>
        <v>0</v>
      </c>
      <c r="D18" s="684">
        <f>'7&amp;8 Sleep'!$N137+'7&amp;8 Sleep'!$AA137</f>
        <v>0</v>
      </c>
      <c r="E18" s="684">
        <f>'7&amp;8 Sleep'!$N189+'7&amp;8 Sleep'!$AA189</f>
        <v>0</v>
      </c>
      <c r="F18" s="684">
        <f>'7&amp;8 Sleep'!$N242+'7&amp;8 Sleep'!$AA242</f>
        <v>0</v>
      </c>
      <c r="G18" s="685">
        <f>'7&amp;8 Sleep'!$N295+'7&amp;8 Sleep'!$AA295</f>
        <v>0</v>
      </c>
      <c r="H18" s="660">
        <f t="shared" si="7"/>
        <v>1</v>
      </c>
      <c r="I18" s="660">
        <f>'7&amp;8 Day'!$N85+'7&amp;8 Day'!$AA85</f>
        <v>0</v>
      </c>
      <c r="J18" s="660">
        <f>'7&amp;8 Day'!$N137+'7&amp;8 Day'!$AA137</f>
        <v>0</v>
      </c>
      <c r="K18" s="660">
        <f>'7&amp;8 Day'!$N189+'7&amp;8 Day'!$AA189</f>
        <v>0</v>
      </c>
      <c r="L18" s="660">
        <f>'7&amp;8 Day'!$N242+'7&amp;8 Day'!$AA242</f>
        <v>0</v>
      </c>
      <c r="M18" s="660">
        <f>'7&amp;8 Day'!$N295+'7&amp;8 Day'!$AA295</f>
        <v>0</v>
      </c>
      <c r="N18" s="683">
        <f t="shared" si="8"/>
        <v>1</v>
      </c>
      <c r="O18" s="684">
        <f>'7&amp;8 SU'!$N85+'7&amp;8 SU'!$AA85</f>
        <v>0</v>
      </c>
      <c r="P18" s="684">
        <f>'7&amp;8 SU'!$N137+'7&amp;8 SU'!$AA137</f>
        <v>0</v>
      </c>
      <c r="Q18" s="684">
        <f>'7&amp;8 SU'!$N189+'7&amp;8 SU'!$AA189</f>
        <v>0</v>
      </c>
      <c r="R18" s="684">
        <f>'7&amp;8 SU'!$N242+'7&amp;8 SU'!$AA242</f>
        <v>0</v>
      </c>
      <c r="S18" s="685">
        <f>'7&amp;8 SU'!$N295+'7&amp;8 SU'!$AA295</f>
        <v>0</v>
      </c>
      <c r="T18" s="664">
        <f>B18*'Market Data'!$C$52+H18*'Market Data'!$M$52+N18*'Market Data'!$W$52</f>
        <v>1</v>
      </c>
      <c r="U18" s="432">
        <f>SUM(C18:G18)*'Market Data'!$C$52+SUM(I18:M18)*'Market Data'!$M$52+SUM(O18:S18)*'Market Data'!$W$52</f>
        <v>0</v>
      </c>
      <c r="X18" s="117"/>
    </row>
    <row r="19" spans="1:26" ht="15" x14ac:dyDescent="0.25">
      <c r="A19" s="403">
        <v>2017</v>
      </c>
      <c r="B19" s="675">
        <f t="shared" si="6"/>
        <v>1</v>
      </c>
      <c r="C19" s="676">
        <f>'7&amp;8 Sleep'!$N86+'7&amp;8 Sleep'!$AA86</f>
        <v>0</v>
      </c>
      <c r="D19" s="676">
        <f>'7&amp;8 Sleep'!$N138+'7&amp;8 Sleep'!$AA138</f>
        <v>0</v>
      </c>
      <c r="E19" s="676">
        <f>'7&amp;8 Sleep'!$N190+'7&amp;8 Sleep'!$AA190</f>
        <v>0</v>
      </c>
      <c r="F19" s="676">
        <f>'7&amp;8 Sleep'!$N243+'7&amp;8 Sleep'!$AA243</f>
        <v>0</v>
      </c>
      <c r="G19" s="677">
        <f>'7&amp;8 Sleep'!$N296+'7&amp;8 Sleep'!$AA296</f>
        <v>0</v>
      </c>
      <c r="H19" s="658">
        <f t="shared" si="7"/>
        <v>1</v>
      </c>
      <c r="I19" s="658">
        <f>'7&amp;8 Day'!$N86+'7&amp;8 Day'!$AA86</f>
        <v>0</v>
      </c>
      <c r="J19" s="658">
        <f>'7&amp;8 Day'!$N138+'7&amp;8 Day'!$AA138</f>
        <v>0</v>
      </c>
      <c r="K19" s="658">
        <f>'7&amp;8 Day'!$N190+'7&amp;8 Day'!$AA190</f>
        <v>0</v>
      </c>
      <c r="L19" s="658">
        <f>'7&amp;8 Day'!$N243+'7&amp;8 Day'!$AA243</f>
        <v>0</v>
      </c>
      <c r="M19" s="658">
        <f>'7&amp;8 Day'!$N296+'7&amp;8 Day'!$AA296</f>
        <v>0</v>
      </c>
      <c r="N19" s="675">
        <f t="shared" si="8"/>
        <v>1</v>
      </c>
      <c r="O19" s="676">
        <f>'7&amp;8 SU'!$N86+'7&amp;8 SU'!$AA86</f>
        <v>0</v>
      </c>
      <c r="P19" s="676">
        <f>'7&amp;8 SU'!$N138+'7&amp;8 SU'!$AA138</f>
        <v>0</v>
      </c>
      <c r="Q19" s="676">
        <f>'7&amp;8 SU'!$N190+'7&amp;8 SU'!$AA190</f>
        <v>0</v>
      </c>
      <c r="R19" s="676">
        <f>'7&amp;8 SU'!$N243+'7&amp;8 SU'!$AA243</f>
        <v>0</v>
      </c>
      <c r="S19" s="677">
        <f>'7&amp;8 SU'!$N296+'7&amp;8 SU'!$AA296</f>
        <v>0</v>
      </c>
      <c r="T19" s="662">
        <f>B19*'Market Data'!$C$52+H19*'Market Data'!$M$52+N19*'Market Data'!$W$52</f>
        <v>1</v>
      </c>
      <c r="U19" s="425">
        <f>SUM(C19:G19)*'Market Data'!$C$52+SUM(I19:M19)*'Market Data'!$M$52+SUM(O19:S19)*'Market Data'!$W$52</f>
        <v>0</v>
      </c>
      <c r="X19" s="117"/>
    </row>
    <row r="20" spans="1:26" ht="15" x14ac:dyDescent="0.25">
      <c r="A20" s="403">
        <v>2018</v>
      </c>
      <c r="B20" s="675">
        <f t="shared" si="6"/>
        <v>1</v>
      </c>
      <c r="C20" s="676">
        <f>'7&amp;8 Sleep'!$N87+'7&amp;8 Sleep'!$AA87</f>
        <v>0</v>
      </c>
      <c r="D20" s="676">
        <f>'7&amp;8 Sleep'!$N139+'7&amp;8 Sleep'!$AA139</f>
        <v>0</v>
      </c>
      <c r="E20" s="676">
        <f>'7&amp;8 Sleep'!$N191+'7&amp;8 Sleep'!$AA191</f>
        <v>0</v>
      </c>
      <c r="F20" s="676">
        <f>'7&amp;8 Sleep'!$N244+'7&amp;8 Sleep'!$AA244</f>
        <v>0</v>
      </c>
      <c r="G20" s="677">
        <f>'7&amp;8 Sleep'!$N297+'7&amp;8 Sleep'!$AA297</f>
        <v>0</v>
      </c>
      <c r="H20" s="658">
        <f t="shared" si="7"/>
        <v>1</v>
      </c>
      <c r="I20" s="658">
        <f>'7&amp;8 Day'!$N87+'7&amp;8 Day'!$AA87</f>
        <v>0</v>
      </c>
      <c r="J20" s="658">
        <f>'7&amp;8 Day'!$N139+'7&amp;8 Day'!$AA139</f>
        <v>0</v>
      </c>
      <c r="K20" s="658">
        <f>'7&amp;8 Day'!$N191+'7&amp;8 Day'!$AA191</f>
        <v>0</v>
      </c>
      <c r="L20" s="658">
        <f>'7&amp;8 Day'!$N244+'7&amp;8 Day'!$AA244</f>
        <v>0</v>
      </c>
      <c r="M20" s="658">
        <f>'7&amp;8 Day'!$N297+'7&amp;8 Day'!$AA297</f>
        <v>0</v>
      </c>
      <c r="N20" s="675">
        <f t="shared" si="8"/>
        <v>1</v>
      </c>
      <c r="O20" s="676">
        <f>'7&amp;8 SU'!$N87+'7&amp;8 SU'!$AA87</f>
        <v>0</v>
      </c>
      <c r="P20" s="676">
        <f>'7&amp;8 SU'!$N139+'7&amp;8 SU'!$AA139</f>
        <v>0</v>
      </c>
      <c r="Q20" s="676">
        <f>'7&amp;8 SU'!$N191+'7&amp;8 SU'!$AA191</f>
        <v>0</v>
      </c>
      <c r="R20" s="676">
        <f>'7&amp;8 SU'!$N244+'7&amp;8 SU'!$AA244</f>
        <v>0</v>
      </c>
      <c r="S20" s="677">
        <f>'7&amp;8 SU'!$N297+'7&amp;8 SU'!$AA297</f>
        <v>0</v>
      </c>
      <c r="T20" s="662">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4">
        <f>1-SUM(V20:Y20)</f>
        <v>1</v>
      </c>
    </row>
    <row r="21" spans="1:26" ht="15" x14ac:dyDescent="0.25">
      <c r="A21" s="403">
        <v>2019</v>
      </c>
      <c r="B21" s="675">
        <f t="shared" si="6"/>
        <v>1</v>
      </c>
      <c r="C21" s="676">
        <f>'7&amp;8 Sleep'!$N88+'7&amp;8 Sleep'!$AA88</f>
        <v>0</v>
      </c>
      <c r="D21" s="676">
        <f>'7&amp;8 Sleep'!$N140+'7&amp;8 Sleep'!$AA140</f>
        <v>0</v>
      </c>
      <c r="E21" s="676">
        <f>'7&amp;8 Sleep'!$N192+'7&amp;8 Sleep'!$AA192</f>
        <v>0</v>
      </c>
      <c r="F21" s="676">
        <f>'7&amp;8 Sleep'!$N245+'7&amp;8 Sleep'!$AA245</f>
        <v>0</v>
      </c>
      <c r="G21" s="677">
        <f>'7&amp;8 Sleep'!$N298+'7&amp;8 Sleep'!$AA298</f>
        <v>0</v>
      </c>
      <c r="H21" s="658">
        <f t="shared" si="7"/>
        <v>1</v>
      </c>
      <c r="I21" s="658">
        <f>'7&amp;8 Day'!$N88+'7&amp;8 Day'!$AA88</f>
        <v>0</v>
      </c>
      <c r="J21" s="658">
        <f>'7&amp;8 Day'!$N140+'7&amp;8 Day'!$AA140</f>
        <v>0</v>
      </c>
      <c r="K21" s="658">
        <f>'7&amp;8 Day'!$N192+'7&amp;8 Day'!$AA192</f>
        <v>0</v>
      </c>
      <c r="L21" s="658">
        <f>'7&amp;8 Day'!$N245+'7&amp;8 Day'!$AA245</f>
        <v>0</v>
      </c>
      <c r="M21" s="658">
        <f>'7&amp;8 Day'!$N298+'7&amp;8 Day'!$AA298</f>
        <v>0</v>
      </c>
      <c r="N21" s="675">
        <f t="shared" si="8"/>
        <v>1</v>
      </c>
      <c r="O21" s="676">
        <f>'7&amp;8 SU'!$N88+'7&amp;8 SU'!$AA88</f>
        <v>0</v>
      </c>
      <c r="P21" s="676">
        <f>'7&amp;8 SU'!$N140+'7&amp;8 SU'!$AA140</f>
        <v>0</v>
      </c>
      <c r="Q21" s="676">
        <f>'7&amp;8 SU'!$N192+'7&amp;8 SU'!$AA192</f>
        <v>0</v>
      </c>
      <c r="R21" s="676">
        <f>'7&amp;8 SU'!$N245+'7&amp;8 SU'!$AA245</f>
        <v>0</v>
      </c>
      <c r="S21" s="677">
        <f>'7&amp;8 SU'!$N298+'7&amp;8 SU'!$AA298</f>
        <v>0</v>
      </c>
      <c r="T21" s="662">
        <f>B21*'Market Data'!$C$52+H21*'Market Data'!$M$52+N21*'Market Data'!$W$52</f>
        <v>1</v>
      </c>
      <c r="U21" s="425">
        <f>SUM(C21:G21)*'Market Data'!$C$52+SUM(I21:M21)*'Market Data'!$M$52+SUM(O21:S21)*'Market Data'!$W$52</f>
        <v>0</v>
      </c>
      <c r="X21" s="117"/>
    </row>
    <row r="22" spans="1:26" ht="15" x14ac:dyDescent="0.25">
      <c r="A22" s="402">
        <v>2020</v>
      </c>
      <c r="B22" s="678">
        <f t="shared" si="6"/>
        <v>1</v>
      </c>
      <c r="C22" s="679">
        <f>'7&amp;8 Sleep'!$N89+'7&amp;8 Sleep'!$AA89</f>
        <v>0</v>
      </c>
      <c r="D22" s="679">
        <f>'7&amp;8 Sleep'!$N141+'7&amp;8 Sleep'!$AA141</f>
        <v>0</v>
      </c>
      <c r="E22" s="679">
        <f>'7&amp;8 Sleep'!$N193+'7&amp;8 Sleep'!$AA193</f>
        <v>0</v>
      </c>
      <c r="F22" s="679">
        <f>'7&amp;8 Sleep'!$N246+'7&amp;8 Sleep'!$AA246</f>
        <v>0</v>
      </c>
      <c r="G22" s="680">
        <f>'7&amp;8 Sleep'!$N299+'7&amp;8 Sleep'!$AA299</f>
        <v>0</v>
      </c>
      <c r="H22" s="659">
        <f t="shared" si="7"/>
        <v>1</v>
      </c>
      <c r="I22" s="659">
        <f>'7&amp;8 Day'!$N89+'7&amp;8 Day'!$AA89</f>
        <v>0</v>
      </c>
      <c r="J22" s="659">
        <f>'7&amp;8 Day'!$N141+'7&amp;8 Day'!$AA141</f>
        <v>0</v>
      </c>
      <c r="K22" s="659">
        <f>'7&amp;8 Day'!$N193+'7&amp;8 Day'!$AA193</f>
        <v>0</v>
      </c>
      <c r="L22" s="659">
        <f>'7&amp;8 Day'!$N246+'7&amp;8 Day'!$AA246</f>
        <v>0</v>
      </c>
      <c r="M22" s="659">
        <f>'7&amp;8 Day'!$N299+'7&amp;8 Day'!$AA299</f>
        <v>0</v>
      </c>
      <c r="N22" s="678">
        <f t="shared" si="8"/>
        <v>1</v>
      </c>
      <c r="O22" s="679">
        <f>'7&amp;8 SU'!$N89+'7&amp;8 SU'!$AA89</f>
        <v>0</v>
      </c>
      <c r="P22" s="679">
        <f>'7&amp;8 SU'!$N141+'7&amp;8 SU'!$AA141</f>
        <v>0</v>
      </c>
      <c r="Q22" s="679">
        <f>'7&amp;8 SU'!$N193+'7&amp;8 SU'!$AA193</f>
        <v>0</v>
      </c>
      <c r="R22" s="679">
        <f>'7&amp;8 SU'!$N246+'7&amp;8 SU'!$AA246</f>
        <v>0</v>
      </c>
      <c r="S22" s="680">
        <f>'7&amp;8 SU'!$N299+'7&amp;8 SU'!$AA299</f>
        <v>0</v>
      </c>
      <c r="T22" s="663">
        <f>B22*'Market Data'!$C$52+H22*'Market Data'!$M$52+N22*'Market Data'!$W$52</f>
        <v>1</v>
      </c>
      <c r="U22" s="428">
        <f>SUM(C22:G22)*'Market Data'!$C$52+SUM(I22:M22)*'Market Data'!$M$52+SUM(O22:S22)*'Market Data'!$W$52</f>
        <v>0</v>
      </c>
      <c r="X22" s="117"/>
    </row>
    <row r="23" spans="1:26" ht="15" x14ac:dyDescent="0.25">
      <c r="A23" s="648">
        <v>2021</v>
      </c>
      <c r="B23" s="683">
        <f t="shared" si="6"/>
        <v>1</v>
      </c>
      <c r="C23" s="684">
        <f>'7&amp;8 Sleep'!$N90+'7&amp;8 Sleep'!$AA90</f>
        <v>0</v>
      </c>
      <c r="D23" s="684">
        <f>'7&amp;8 Sleep'!$N142+'7&amp;8 Sleep'!$AA142</f>
        <v>0</v>
      </c>
      <c r="E23" s="684">
        <f>'7&amp;8 Sleep'!$N194+'7&amp;8 Sleep'!$AA194</f>
        <v>0</v>
      </c>
      <c r="F23" s="684">
        <f>'7&amp;8 Sleep'!$N247+'7&amp;8 Sleep'!$AA247</f>
        <v>0</v>
      </c>
      <c r="G23" s="685">
        <f>'7&amp;8 Sleep'!$N300+'7&amp;8 Sleep'!$AA300</f>
        <v>0</v>
      </c>
      <c r="H23" s="660">
        <f t="shared" si="7"/>
        <v>1</v>
      </c>
      <c r="I23" s="660">
        <f>'7&amp;8 Day'!$N90+'7&amp;8 Day'!$AA90</f>
        <v>0</v>
      </c>
      <c r="J23" s="660">
        <f>'7&amp;8 Day'!$N142+'7&amp;8 Day'!$AA142</f>
        <v>0</v>
      </c>
      <c r="K23" s="660">
        <f>'7&amp;8 Day'!$N194+'7&amp;8 Day'!$AA194</f>
        <v>0</v>
      </c>
      <c r="L23" s="660">
        <f>'7&amp;8 Day'!$N247+'7&amp;8 Day'!$AA247</f>
        <v>0</v>
      </c>
      <c r="M23" s="660">
        <f>'7&amp;8 Day'!$N300+'7&amp;8 Day'!$AA300</f>
        <v>0</v>
      </c>
      <c r="N23" s="683">
        <f t="shared" si="8"/>
        <v>1</v>
      </c>
      <c r="O23" s="684">
        <f>'7&amp;8 SU'!$N90+'7&amp;8 SU'!$AA90</f>
        <v>0</v>
      </c>
      <c r="P23" s="684">
        <f>'7&amp;8 SU'!$N142+'7&amp;8 SU'!$AA142</f>
        <v>0</v>
      </c>
      <c r="Q23" s="684">
        <f>'7&amp;8 SU'!$N194+'7&amp;8 SU'!$AA194</f>
        <v>0</v>
      </c>
      <c r="R23" s="684">
        <f>'7&amp;8 SU'!$N247+'7&amp;8 SU'!$AA247</f>
        <v>0</v>
      </c>
      <c r="S23" s="685">
        <f>'7&amp;8 SU'!$N300+'7&amp;8 SU'!$AA300</f>
        <v>0</v>
      </c>
      <c r="T23" s="664">
        <f>B23*'Market Data'!$C$52+H23*'Market Data'!$M$52+N23*'Market Data'!$W$52</f>
        <v>1</v>
      </c>
      <c r="U23" s="432">
        <f>SUM(C23:G23)*'Market Data'!$C$52+SUM(I23:M23)*'Market Data'!$M$52+SUM(O23:S23)*'Market Data'!$W$52</f>
        <v>0</v>
      </c>
      <c r="X23" s="117"/>
    </row>
    <row r="24" spans="1:26" ht="15" x14ac:dyDescent="0.25">
      <c r="A24" s="403">
        <v>2022</v>
      </c>
      <c r="B24" s="675">
        <f t="shared" si="6"/>
        <v>1</v>
      </c>
      <c r="C24" s="676">
        <f>'7&amp;8 Sleep'!$N91+'7&amp;8 Sleep'!$AA91</f>
        <v>0</v>
      </c>
      <c r="D24" s="676">
        <f>'7&amp;8 Sleep'!$N143+'7&amp;8 Sleep'!$AA143</f>
        <v>0</v>
      </c>
      <c r="E24" s="676">
        <f>'7&amp;8 Sleep'!$N195+'7&amp;8 Sleep'!$AA195</f>
        <v>0</v>
      </c>
      <c r="F24" s="676">
        <f>'7&amp;8 Sleep'!$N248+'7&amp;8 Sleep'!$AA248</f>
        <v>0</v>
      </c>
      <c r="G24" s="677">
        <f>'7&amp;8 Sleep'!$N301+'7&amp;8 Sleep'!$AA301</f>
        <v>0</v>
      </c>
      <c r="H24" s="658">
        <f t="shared" si="7"/>
        <v>1</v>
      </c>
      <c r="I24" s="658">
        <f>'7&amp;8 Day'!$N91+'7&amp;8 Day'!$AA91</f>
        <v>0</v>
      </c>
      <c r="J24" s="658">
        <f>'7&amp;8 Day'!$N143+'7&amp;8 Day'!$AA143</f>
        <v>0</v>
      </c>
      <c r="K24" s="658">
        <f>'7&amp;8 Day'!$N195+'7&amp;8 Day'!$AA195</f>
        <v>0</v>
      </c>
      <c r="L24" s="658">
        <f>'7&amp;8 Day'!$N248+'7&amp;8 Day'!$AA248</f>
        <v>0</v>
      </c>
      <c r="M24" s="658">
        <f>'7&amp;8 Day'!$N301+'7&amp;8 Day'!$AA301</f>
        <v>0</v>
      </c>
      <c r="N24" s="675">
        <f t="shared" si="8"/>
        <v>1</v>
      </c>
      <c r="O24" s="676">
        <f>'7&amp;8 SU'!$N91+'7&amp;8 SU'!$AA91</f>
        <v>0</v>
      </c>
      <c r="P24" s="676">
        <f>'7&amp;8 SU'!$N143+'7&amp;8 SU'!$AA143</f>
        <v>0</v>
      </c>
      <c r="Q24" s="676">
        <f>'7&amp;8 SU'!$N195+'7&amp;8 SU'!$AA195</f>
        <v>0</v>
      </c>
      <c r="R24" s="676">
        <f>'7&amp;8 SU'!$N248+'7&amp;8 SU'!$AA248</f>
        <v>0</v>
      </c>
      <c r="S24" s="677">
        <f>'7&amp;8 SU'!$N301+'7&amp;8 SU'!$AA301</f>
        <v>0</v>
      </c>
      <c r="T24" s="662">
        <f>B24*'Market Data'!$C$52+H24*'Market Data'!$M$52+N24*'Market Data'!$W$52</f>
        <v>1</v>
      </c>
      <c r="U24" s="425">
        <f>SUM(C24:G24)*'Market Data'!$C$52+SUM(I24:M24)*'Market Data'!$M$52+SUM(O24:S24)*'Market Data'!$W$52</f>
        <v>0</v>
      </c>
      <c r="X24" s="117"/>
    </row>
    <row r="25" spans="1:26" ht="15" x14ac:dyDescent="0.25">
      <c r="A25" s="403">
        <v>2023</v>
      </c>
      <c r="B25" s="675">
        <f t="shared" si="6"/>
        <v>1</v>
      </c>
      <c r="C25" s="676">
        <f>'7&amp;8 Sleep'!$N92+'7&amp;8 Sleep'!$AA92</f>
        <v>0</v>
      </c>
      <c r="D25" s="676">
        <f>'7&amp;8 Sleep'!$N144+'7&amp;8 Sleep'!$AA144</f>
        <v>0</v>
      </c>
      <c r="E25" s="676">
        <f>'7&amp;8 Sleep'!$N196+'7&amp;8 Sleep'!$AA196</f>
        <v>0</v>
      </c>
      <c r="F25" s="676">
        <f>'7&amp;8 Sleep'!$N249+'7&amp;8 Sleep'!$AA249</f>
        <v>0</v>
      </c>
      <c r="G25" s="677">
        <f>'7&amp;8 Sleep'!$N302+'7&amp;8 Sleep'!$AA302</f>
        <v>0</v>
      </c>
      <c r="H25" s="658">
        <f t="shared" si="7"/>
        <v>1</v>
      </c>
      <c r="I25" s="658">
        <f>'7&amp;8 Day'!$N92+'7&amp;8 Day'!$AA92</f>
        <v>0</v>
      </c>
      <c r="J25" s="658">
        <f>'7&amp;8 Day'!$N144+'7&amp;8 Day'!$AA144</f>
        <v>0</v>
      </c>
      <c r="K25" s="658">
        <f>'7&amp;8 Day'!$N196+'7&amp;8 Day'!$AA196</f>
        <v>0</v>
      </c>
      <c r="L25" s="658">
        <f>'7&amp;8 Day'!$N249+'7&amp;8 Day'!$AA249</f>
        <v>0</v>
      </c>
      <c r="M25" s="658">
        <f>'7&amp;8 Day'!$N302+'7&amp;8 Day'!$AA302</f>
        <v>0</v>
      </c>
      <c r="N25" s="675">
        <f t="shared" si="8"/>
        <v>1</v>
      </c>
      <c r="O25" s="676">
        <f>'7&amp;8 SU'!$N92+'7&amp;8 SU'!$AA92</f>
        <v>0</v>
      </c>
      <c r="P25" s="676">
        <f>'7&amp;8 SU'!$N144+'7&amp;8 SU'!$AA144</f>
        <v>0</v>
      </c>
      <c r="Q25" s="676">
        <f>'7&amp;8 SU'!$N196+'7&amp;8 SU'!$AA196</f>
        <v>0</v>
      </c>
      <c r="R25" s="676">
        <f>'7&amp;8 SU'!$N249+'7&amp;8 SU'!$AA249</f>
        <v>0</v>
      </c>
      <c r="S25" s="677">
        <f>'7&amp;8 SU'!$N302+'7&amp;8 SU'!$AA302</f>
        <v>0</v>
      </c>
      <c r="T25" s="662">
        <f>B25*'Market Data'!$C$52+H25*'Market Data'!$M$52+N25*'Market Data'!$W$52</f>
        <v>1</v>
      </c>
      <c r="U25" s="425">
        <f>SUM(C25:G25)*'Market Data'!$C$52+SUM(I25:M25)*'Market Data'!$M$52+SUM(O25:S25)*'Market Data'!$W$52</f>
        <v>0</v>
      </c>
      <c r="X25" s="117"/>
    </row>
    <row r="26" spans="1:26" ht="15" x14ac:dyDescent="0.25">
      <c r="A26" s="403">
        <v>2024</v>
      </c>
      <c r="B26" s="675">
        <f t="shared" si="6"/>
        <v>1</v>
      </c>
      <c r="C26" s="676">
        <f>'7&amp;8 Sleep'!$N93+'7&amp;8 Sleep'!$AA93</f>
        <v>0</v>
      </c>
      <c r="D26" s="676">
        <f>'7&amp;8 Sleep'!$N145+'7&amp;8 Sleep'!$AA145</f>
        <v>0</v>
      </c>
      <c r="E26" s="676">
        <f>'7&amp;8 Sleep'!$N197+'7&amp;8 Sleep'!$AA197</f>
        <v>0</v>
      </c>
      <c r="F26" s="676">
        <f>'7&amp;8 Sleep'!$N250+'7&amp;8 Sleep'!$AA250</f>
        <v>0</v>
      </c>
      <c r="G26" s="677">
        <f>'7&amp;8 Sleep'!$N303+'7&amp;8 Sleep'!$AA303</f>
        <v>0</v>
      </c>
      <c r="H26" s="658">
        <f t="shared" si="7"/>
        <v>1</v>
      </c>
      <c r="I26" s="658">
        <f>'7&amp;8 Day'!$N93+'7&amp;8 Day'!$AA93</f>
        <v>0</v>
      </c>
      <c r="J26" s="658">
        <f>'7&amp;8 Day'!$N145+'7&amp;8 Day'!$AA145</f>
        <v>0</v>
      </c>
      <c r="K26" s="658">
        <f>'7&amp;8 Day'!$N197+'7&amp;8 Day'!$AA197</f>
        <v>0</v>
      </c>
      <c r="L26" s="658">
        <f>'7&amp;8 Day'!$N250+'7&amp;8 Day'!$AA250</f>
        <v>0</v>
      </c>
      <c r="M26" s="658">
        <f>'7&amp;8 Day'!$N303+'7&amp;8 Day'!$AA303</f>
        <v>0</v>
      </c>
      <c r="N26" s="675">
        <f t="shared" si="8"/>
        <v>1</v>
      </c>
      <c r="O26" s="676">
        <f>'7&amp;8 SU'!$N93+'7&amp;8 SU'!$AA93</f>
        <v>0</v>
      </c>
      <c r="P26" s="676">
        <f>'7&amp;8 SU'!$N145+'7&amp;8 SU'!$AA145</f>
        <v>0</v>
      </c>
      <c r="Q26" s="676">
        <f>'7&amp;8 SU'!$N197+'7&amp;8 SU'!$AA197</f>
        <v>0</v>
      </c>
      <c r="R26" s="676">
        <f>'7&amp;8 SU'!$N250+'7&amp;8 SU'!$AA250</f>
        <v>0</v>
      </c>
      <c r="S26" s="677">
        <f>'7&amp;8 SU'!$N303+'7&amp;8 SU'!$AA303</f>
        <v>0</v>
      </c>
      <c r="T26" s="662">
        <f>B26*'Market Data'!$C$52+H26*'Market Data'!$M$52+N26*'Market Data'!$W$52</f>
        <v>1</v>
      </c>
      <c r="U26" s="425">
        <f>SUM(C26:G26)*'Market Data'!$C$52+SUM(I26:M26)*'Market Data'!$M$52+SUM(O26:S26)*'Market Data'!$W$52</f>
        <v>0</v>
      </c>
      <c r="X26" s="117"/>
    </row>
    <row r="27" spans="1:26" ht="15" x14ac:dyDescent="0.25">
      <c r="A27" s="402">
        <v>2025</v>
      </c>
      <c r="B27" s="678">
        <f t="shared" si="6"/>
        <v>1</v>
      </c>
      <c r="C27" s="679">
        <f>'7&amp;8 Sleep'!$N94+'7&amp;8 Sleep'!$AA94</f>
        <v>0</v>
      </c>
      <c r="D27" s="679">
        <f>'7&amp;8 Sleep'!$N146+'7&amp;8 Sleep'!$AA146</f>
        <v>0</v>
      </c>
      <c r="E27" s="679">
        <f>'7&amp;8 Sleep'!$N198+'7&amp;8 Sleep'!$AA198</f>
        <v>0</v>
      </c>
      <c r="F27" s="679">
        <f>'7&amp;8 Sleep'!$N251+'7&amp;8 Sleep'!$AA251</f>
        <v>0</v>
      </c>
      <c r="G27" s="680">
        <f>'7&amp;8 Sleep'!$N304+'7&amp;8 Sleep'!$AA304</f>
        <v>0</v>
      </c>
      <c r="H27" s="659">
        <f t="shared" si="7"/>
        <v>1</v>
      </c>
      <c r="I27" s="659">
        <f>'7&amp;8 Day'!$N94+'7&amp;8 Day'!$AA94</f>
        <v>0</v>
      </c>
      <c r="J27" s="659">
        <f>'7&amp;8 Day'!$N146+'7&amp;8 Day'!$AA146</f>
        <v>0</v>
      </c>
      <c r="K27" s="659">
        <f>'7&amp;8 Day'!$N198+'7&amp;8 Day'!$AA198</f>
        <v>0</v>
      </c>
      <c r="L27" s="659">
        <f>'7&amp;8 Day'!$N251+'7&amp;8 Day'!$AA251</f>
        <v>0</v>
      </c>
      <c r="M27" s="659">
        <f>'7&amp;8 Day'!$N304+'7&amp;8 Day'!$AA304</f>
        <v>0</v>
      </c>
      <c r="N27" s="678">
        <f t="shared" si="8"/>
        <v>1</v>
      </c>
      <c r="O27" s="679">
        <f>'7&amp;8 SU'!$N94+'7&amp;8 SU'!$AA94</f>
        <v>0</v>
      </c>
      <c r="P27" s="679">
        <f>'7&amp;8 SU'!$N146+'7&amp;8 SU'!$AA146</f>
        <v>0</v>
      </c>
      <c r="Q27" s="679">
        <f>'7&amp;8 SU'!$N198+'7&amp;8 SU'!$AA198</f>
        <v>0</v>
      </c>
      <c r="R27" s="679">
        <f>'7&amp;8 SU'!$N251+'7&amp;8 SU'!$AA251</f>
        <v>0</v>
      </c>
      <c r="S27" s="680">
        <f>'7&amp;8 SU'!$N304+'7&amp;8 SU'!$AA304</f>
        <v>0</v>
      </c>
      <c r="T27" s="663">
        <f>B27*'Market Data'!$C$52+H27*'Market Data'!$M$52+N27*'Market Data'!$W$52</f>
        <v>1</v>
      </c>
      <c r="U27" s="428">
        <f>SUM(C27:G27)*'Market Data'!$C$52+SUM(I27:M27)*'Market Data'!$M$52+SUM(O27:S27)*'Market Data'!$W$52</f>
        <v>0</v>
      </c>
      <c r="X27" s="117"/>
    </row>
    <row r="28" spans="1:26" ht="15" x14ac:dyDescent="0.25">
      <c r="A28" s="648">
        <v>2026</v>
      </c>
      <c r="B28" s="683">
        <f t="shared" si="6"/>
        <v>0.97412870574699872</v>
      </c>
      <c r="C28" s="684">
        <f>'7&amp;8 Sleep'!$N95+'7&amp;8 Sleep'!$AA95</f>
        <v>1.5530609832008792E-2</v>
      </c>
      <c r="D28" s="684">
        <f>'7&amp;8 Sleep'!$N147+'7&amp;8 Sleep'!$AA147</f>
        <v>1.0340684420992521E-2</v>
      </c>
      <c r="E28" s="684">
        <f>'7&amp;8 Sleep'!$N199+'7&amp;8 Sleep'!$AA199</f>
        <v>0</v>
      </c>
      <c r="F28" s="684">
        <f>'7&amp;8 Sleep'!$N252+'7&amp;8 Sleep'!$AA252</f>
        <v>0</v>
      </c>
      <c r="G28" s="685">
        <f>'7&amp;8 Sleep'!$N305+'7&amp;8 Sleep'!$AA305</f>
        <v>0</v>
      </c>
      <c r="H28" s="660">
        <f t="shared" si="7"/>
        <v>0.98215985716535914</v>
      </c>
      <c r="I28" s="660">
        <f>'7&amp;8 Day'!$N95+'7&amp;8 Day'!$AA95</f>
        <v>1.1164918816463212E-2</v>
      </c>
      <c r="J28" s="660">
        <f>'7&amp;8 Day'!$N147+'7&amp;8 Day'!$AA147</f>
        <v>6.6752240181776447E-3</v>
      </c>
      <c r="K28" s="660">
        <f>'7&amp;8 Day'!$N199+'7&amp;8 Day'!$AA199</f>
        <v>0</v>
      </c>
      <c r="L28" s="660">
        <f>'7&amp;8 Day'!$N252+'7&amp;8 Day'!$AA252</f>
        <v>0</v>
      </c>
      <c r="M28" s="660">
        <f>'7&amp;8 Day'!$N305+'7&amp;8 Day'!$AA305</f>
        <v>0</v>
      </c>
      <c r="N28" s="683">
        <f t="shared" si="8"/>
        <v>0.95584238434861901</v>
      </c>
      <c r="O28" s="684">
        <f>'7&amp;8 SU'!$N95+'7&amp;8 SU'!$AA95</f>
        <v>3.0544984282628411E-2</v>
      </c>
      <c r="P28" s="684">
        <f>'7&amp;8 SU'!$N147+'7&amp;8 SU'!$AA147</f>
        <v>1.3612631368752537E-2</v>
      </c>
      <c r="Q28" s="684">
        <f>'7&amp;8 SU'!$N199+'7&amp;8 SU'!$AA199</f>
        <v>0</v>
      </c>
      <c r="R28" s="684">
        <f>'7&amp;8 SU'!$N252+'7&amp;8 SU'!$AA252</f>
        <v>0</v>
      </c>
      <c r="S28" s="685">
        <f>'7&amp;8 SU'!$N305+'7&amp;8 SU'!$AA305</f>
        <v>0</v>
      </c>
      <c r="T28" s="664">
        <f>B28*'Market Data'!$C$52+H28*'Market Data'!$M$52+N28*'Market Data'!$W$52</f>
        <v>0.97128506372504342</v>
      </c>
      <c r="U28" s="432">
        <f>SUM(C28:G28)*'Market Data'!$C$52+SUM(I28:M28)*'Market Data'!$M$52+SUM(O28:S28)*'Market Data'!$W$52</f>
        <v>2.8714936274956526E-2</v>
      </c>
      <c r="X28" s="117"/>
    </row>
    <row r="29" spans="1:26" ht="15" x14ac:dyDescent="0.25">
      <c r="A29" s="403">
        <v>2027</v>
      </c>
      <c r="B29" s="675">
        <f t="shared" si="6"/>
        <v>0.95766129891863661</v>
      </c>
      <c r="C29" s="676">
        <f>'7&amp;8 Sleep'!$N96+'7&amp;8 Sleep'!$AA96</f>
        <v>2.0624571319029204E-2</v>
      </c>
      <c r="D29" s="676">
        <f>'7&amp;8 Sleep'!$N148+'7&amp;8 Sleep'!$AA148</f>
        <v>2.171412976233425E-2</v>
      </c>
      <c r="E29" s="676">
        <f>'7&amp;8 Sleep'!$N200+'7&amp;8 Sleep'!$AA200</f>
        <v>0</v>
      </c>
      <c r="F29" s="676">
        <f>'7&amp;8 Sleep'!$N253+'7&amp;8 Sleep'!$AA253</f>
        <v>0</v>
      </c>
      <c r="G29" s="677">
        <f>'7&amp;8 Sleep'!$N306+'7&amp;8 Sleep'!$AA306</f>
        <v>0</v>
      </c>
      <c r="H29" s="658">
        <f t="shared" si="7"/>
        <v>0.96828715131246434</v>
      </c>
      <c r="I29" s="658">
        <f>'7&amp;8 Day'!$N96+'7&amp;8 Day'!$AA96</f>
        <v>1.8818335051785713E-2</v>
      </c>
      <c r="J29" s="658">
        <f>'7&amp;8 Day'!$N148+'7&amp;8 Day'!$AA148</f>
        <v>1.2894513635749914E-2</v>
      </c>
      <c r="K29" s="658">
        <f>'7&amp;8 Day'!$N200+'7&amp;8 Day'!$AA200</f>
        <v>0</v>
      </c>
      <c r="L29" s="658">
        <f>'7&amp;8 Day'!$N253+'7&amp;8 Day'!$AA253</f>
        <v>0</v>
      </c>
      <c r="M29" s="658">
        <f>'7&amp;8 Day'!$N306+'7&amp;8 Day'!$AA306</f>
        <v>0</v>
      </c>
      <c r="N29" s="675">
        <f t="shared" si="8"/>
        <v>0.89232476125067384</v>
      </c>
      <c r="O29" s="676">
        <f>'7&amp;8 SU'!$N96+'7&amp;8 SU'!$AA96</f>
        <v>7.230644557137314E-2</v>
      </c>
      <c r="P29" s="676">
        <f>'7&amp;8 SU'!$N148+'7&amp;8 SU'!$AA148</f>
        <v>3.5368793177953002E-2</v>
      </c>
      <c r="Q29" s="676">
        <f>'7&amp;8 SU'!$N200+'7&amp;8 SU'!$AA200</f>
        <v>0</v>
      </c>
      <c r="R29" s="676">
        <f>'7&amp;8 SU'!$N253+'7&amp;8 SU'!$AA253</f>
        <v>0</v>
      </c>
      <c r="S29" s="677">
        <f>'7&amp;8 SU'!$N306+'7&amp;8 SU'!$AA306</f>
        <v>0</v>
      </c>
      <c r="T29" s="662">
        <f>B29*'Market Data'!$C$52+H29*'Market Data'!$M$52+N29*'Market Data'!$W$52</f>
        <v>0.94287775403159269</v>
      </c>
      <c r="U29" s="425">
        <f>SUM(C29:G29)*'Market Data'!$C$52+SUM(I29:M29)*'Market Data'!$M$52+SUM(O29:S29)*'Market Data'!$W$52</f>
        <v>5.7122245968407148E-2</v>
      </c>
      <c r="X29" s="117"/>
    </row>
    <row r="30" spans="1:26" ht="15" x14ac:dyDescent="0.25">
      <c r="A30" s="403">
        <v>2028</v>
      </c>
      <c r="B30" s="675">
        <f t="shared" si="6"/>
        <v>0.793715255244408</v>
      </c>
      <c r="C30" s="676">
        <f>'7&amp;8 Sleep'!$N97+'7&amp;8 Sleep'!$AA97</f>
        <v>0.12547734101892083</v>
      </c>
      <c r="D30" s="676">
        <f>'7&amp;8 Sleep'!$N149+'7&amp;8 Sleep'!$AA149</f>
        <v>8.0807403736671224E-2</v>
      </c>
      <c r="E30" s="676">
        <f>'7&amp;8 Sleep'!$N201+'7&amp;8 Sleep'!$AA201</f>
        <v>0</v>
      </c>
      <c r="F30" s="676">
        <f>'7&amp;8 Sleep'!$N254+'7&amp;8 Sleep'!$AA254</f>
        <v>0</v>
      </c>
      <c r="G30" s="677">
        <f>'7&amp;8 Sleep'!$N307+'7&amp;8 Sleep'!$AA307</f>
        <v>0</v>
      </c>
      <c r="H30" s="658">
        <f t="shared" si="7"/>
        <v>0.90517773093401632</v>
      </c>
      <c r="I30" s="658">
        <f>'7&amp;8 Day'!$N97+'7&amp;8 Day'!$AA97</f>
        <v>5.6244129150778657E-2</v>
      </c>
      <c r="J30" s="658">
        <f>'7&amp;8 Day'!$N149+'7&amp;8 Day'!$AA149</f>
        <v>3.8578139915205062E-2</v>
      </c>
      <c r="K30" s="658">
        <f>'7&amp;8 Day'!$N201+'7&amp;8 Day'!$AA201</f>
        <v>0</v>
      </c>
      <c r="L30" s="658">
        <f>'7&amp;8 Day'!$N254+'7&amp;8 Day'!$AA254</f>
        <v>0</v>
      </c>
      <c r="M30" s="658">
        <f>'7&amp;8 Day'!$N307+'7&amp;8 Day'!$AA307</f>
        <v>0</v>
      </c>
      <c r="N30" s="675">
        <f t="shared" si="8"/>
        <v>0.86034880621896814</v>
      </c>
      <c r="O30" s="676">
        <f>'7&amp;8 SU'!$N97+'7&amp;8 SU'!$AA97</f>
        <v>5.5552808080426098E-2</v>
      </c>
      <c r="P30" s="676">
        <f>'7&amp;8 SU'!$N149+'7&amp;8 SU'!$AA149</f>
        <v>8.409838106034942E-2</v>
      </c>
      <c r="Q30" s="676">
        <f>'7&amp;8 SU'!$N201+'7&amp;8 SU'!$AA201</f>
        <v>0</v>
      </c>
      <c r="R30" s="676">
        <f>'7&amp;8 SU'!$N254+'7&amp;8 SU'!$AA254</f>
        <v>4.6402564046394686E-9</v>
      </c>
      <c r="S30" s="677">
        <f>'7&amp;8 SU'!$N307+'7&amp;8 SU'!$AA307</f>
        <v>0</v>
      </c>
      <c r="T30" s="662">
        <f>B30*'Market Data'!$C$52+H30*'Market Data'!$M$52+N30*'Market Data'!$W$52</f>
        <v>0.84008439134486801</v>
      </c>
      <c r="U30" s="425">
        <f>SUM(C30:G30)*'Market Data'!$C$52+SUM(I30:M30)*'Market Data'!$M$52+SUM(O30:S30)*'Market Data'!$W$52</f>
        <v>0.15991560865513194</v>
      </c>
      <c r="X30" s="117"/>
    </row>
    <row r="31" spans="1:26" ht="15" x14ac:dyDescent="0.25">
      <c r="A31" s="403">
        <v>2029</v>
      </c>
      <c r="B31" s="675">
        <f t="shared" si="6"/>
        <v>0.59141961954512945</v>
      </c>
      <c r="C31" s="676">
        <f>'7&amp;8 Sleep'!$N98+'7&amp;8 Sleep'!$AA98</f>
        <v>0.24468841520633619</v>
      </c>
      <c r="D31" s="676">
        <f>'7&amp;8 Sleep'!$N150+'7&amp;8 Sleep'!$AA150</f>
        <v>0.16389196524853433</v>
      </c>
      <c r="E31" s="676">
        <f>'7&amp;8 Sleep'!$N202+'7&amp;8 Sleep'!$AA202</f>
        <v>0</v>
      </c>
      <c r="F31" s="676">
        <f>'7&amp;8 Sleep'!$N255+'7&amp;8 Sleep'!$AA255</f>
        <v>0</v>
      </c>
      <c r="G31" s="677">
        <f>'7&amp;8 Sleep'!$N308+'7&amp;8 Sleep'!$AA308</f>
        <v>0</v>
      </c>
      <c r="H31" s="658">
        <f t="shared" si="7"/>
        <v>0.79969786326022951</v>
      </c>
      <c r="I31" s="658">
        <f>'7&amp;8 Day'!$N98+'7&amp;8 Day'!$AA98</f>
        <v>0.11715869734635662</v>
      </c>
      <c r="J31" s="658">
        <f>'7&amp;8 Day'!$N150+'7&amp;8 Day'!$AA150</f>
        <v>8.3143439393413884E-2</v>
      </c>
      <c r="K31" s="658">
        <f>'7&amp;8 Day'!$N202+'7&amp;8 Day'!$AA202</f>
        <v>0</v>
      </c>
      <c r="L31" s="658">
        <f>'7&amp;8 Day'!$N255+'7&amp;8 Day'!$AA255</f>
        <v>0</v>
      </c>
      <c r="M31" s="658">
        <f>'7&amp;8 Day'!$N308+'7&amp;8 Day'!$AA308</f>
        <v>0</v>
      </c>
      <c r="N31" s="675">
        <f t="shared" si="8"/>
        <v>0.75173552720475634</v>
      </c>
      <c r="O31" s="676">
        <f>'7&amp;8 SU'!$N98+'7&amp;8 SU'!$AA98</f>
        <v>3.8785797336914674E-2</v>
      </c>
      <c r="P31" s="676">
        <f>'7&amp;8 SU'!$N150+'7&amp;8 SU'!$AA150</f>
        <v>0.20947857176609827</v>
      </c>
      <c r="Q31" s="676">
        <f>'7&amp;8 SU'!$N202+'7&amp;8 SU'!$AA202</f>
        <v>0</v>
      </c>
      <c r="R31" s="676">
        <f>'7&amp;8 SU'!$N255+'7&amp;8 SU'!$AA255</f>
        <v>1.0369223073164987E-7</v>
      </c>
      <c r="S31" s="677">
        <f>'7&amp;8 SU'!$N308+'7&amp;8 SU'!$AA308</f>
        <v>0</v>
      </c>
      <c r="T31" s="662">
        <f>B31*'Market Data'!$C$52+H31*'Market Data'!$M$52+N31*'Market Data'!$W$52</f>
        <v>0.68765613491815547</v>
      </c>
      <c r="U31" s="425">
        <f>SUM(C31:G31)*'Market Data'!$C$52+SUM(I31:M31)*'Market Data'!$M$52+SUM(O31:S31)*'Market Data'!$W$52</f>
        <v>0.31234386508184442</v>
      </c>
      <c r="V31"/>
      <c r="W31"/>
      <c r="X31"/>
      <c r="Y31"/>
      <c r="Z31"/>
    </row>
    <row r="32" spans="1:26" ht="15" x14ac:dyDescent="0.25">
      <c r="A32" s="402">
        <v>2030</v>
      </c>
      <c r="B32" s="678">
        <f t="shared" si="6"/>
        <v>0.36017063499540147</v>
      </c>
      <c r="C32" s="679">
        <f>'7&amp;8 Sleep'!$N99+'7&amp;8 Sleep'!$AA99</f>
        <v>0.37487903060539685</v>
      </c>
      <c r="D32" s="679">
        <f>'7&amp;8 Sleep'!$N151+'7&amp;8 Sleep'!$AA151</f>
        <v>0.26495033439920174</v>
      </c>
      <c r="E32" s="679">
        <f>'7&amp;8 Sleep'!$N203+'7&amp;8 Sleep'!$AA203</f>
        <v>0</v>
      </c>
      <c r="F32" s="679">
        <f>'7&amp;8 Sleep'!$N256+'7&amp;8 Sleep'!$AA256</f>
        <v>0</v>
      </c>
      <c r="G32" s="680">
        <f>'7&amp;8 Sleep'!$N309+'7&amp;8 Sleep'!$AA309</f>
        <v>0</v>
      </c>
      <c r="H32" s="659">
        <f t="shared" si="7"/>
        <v>0.65586920506160251</v>
      </c>
      <c r="I32" s="659">
        <f>'7&amp;8 Day'!$N99+'7&amp;8 Day'!$AA99</f>
        <v>0.1996724451067452</v>
      </c>
      <c r="J32" s="659">
        <f>'7&amp;8 Day'!$N151+'7&amp;8 Day'!$AA151</f>
        <v>0.14445834983165232</v>
      </c>
      <c r="K32" s="659">
        <f>'7&amp;8 Day'!$N203+'7&amp;8 Day'!$AA203</f>
        <v>0</v>
      </c>
      <c r="L32" s="659">
        <f>'7&amp;8 Day'!$N256+'7&amp;8 Day'!$AA256</f>
        <v>0</v>
      </c>
      <c r="M32" s="659">
        <f>'7&amp;8 Day'!$N309+'7&amp;8 Day'!$AA309</f>
        <v>0</v>
      </c>
      <c r="N32" s="678">
        <f t="shared" si="8"/>
        <v>0.64765997055516578</v>
      </c>
      <c r="O32" s="679">
        <f>'7&amp;8 SU'!$N99+'7&amp;8 SU'!$AA99</f>
        <v>1.5047795316185802E-2</v>
      </c>
      <c r="P32" s="679">
        <f>'7&amp;8 SU'!$N151+'7&amp;8 SU'!$AA151</f>
        <v>0.33729015520116001</v>
      </c>
      <c r="Q32" s="679">
        <f>'7&amp;8 SU'!$N203+'7&amp;8 SU'!$AA203</f>
        <v>0</v>
      </c>
      <c r="R32" s="679">
        <f>'7&amp;8 SU'!$N256+'7&amp;8 SU'!$AA256</f>
        <v>2.0789274883906938E-6</v>
      </c>
      <c r="S32" s="680">
        <f>'7&amp;8 SU'!$N309+'7&amp;8 SU'!$AA309</f>
        <v>0</v>
      </c>
      <c r="T32" s="663">
        <f>B32*'Market Data'!$C$52+H32*'Market Data'!$M$52+N32*'Market Data'!$W$52</f>
        <v>0.51284214070188916</v>
      </c>
      <c r="U32" s="428">
        <f>SUM(C32:G32)*'Market Data'!$C$52+SUM(I32:M32)*'Market Data'!$M$52+SUM(O32:S32)*'Market Data'!$W$52</f>
        <v>0.48715785929811067</v>
      </c>
      <c r="V32" s="425">
        <f>D32*'Market Data'!$C$52+J32*'Market Data'!$M$52+P32*'Market Data'!$W$52</f>
        <v>0.25349900266737091</v>
      </c>
      <c r="W32" s="425">
        <f>E32*'Market Data'!$C$52+Q32*'Market Data'!$W$52</f>
        <v>0</v>
      </c>
      <c r="X32" s="425">
        <f>F32*'Market Data'!$C$52+L32*'Market Data'!$M$52</f>
        <v>0</v>
      </c>
      <c r="Y32" s="425">
        <f>K32*'Market Data'!$M$52+R32*'Market Data'!$W$52</f>
        <v>5.5690240943801457E-7</v>
      </c>
      <c r="Z32" s="1284">
        <f>1-SUM(V32:Y32)</f>
        <v>0.74650044043021957</v>
      </c>
    </row>
    <row r="33" spans="1:26" ht="15" x14ac:dyDescent="0.25">
      <c r="A33" s="648">
        <v>2031</v>
      </c>
      <c r="B33" s="683">
        <f t="shared" si="6"/>
        <v>0.20776290067031433</v>
      </c>
      <c r="C33" s="684">
        <f>'7&amp;8 Sleep'!$N100+'7&amp;8 Sleep'!$AA100</f>
        <v>0.45547451272335515</v>
      </c>
      <c r="D33" s="684">
        <f>'7&amp;8 Sleep'!$N152+'7&amp;8 Sleep'!$AA152</f>
        <v>0.33676258660633057</v>
      </c>
      <c r="E33" s="684">
        <f>'7&amp;8 Sleep'!$N204+'7&amp;8 Sleep'!$AA204</f>
        <v>0</v>
      </c>
      <c r="F33" s="684">
        <f>'7&amp;8 Sleep'!$N257+'7&amp;8 Sleep'!$AA257</f>
        <v>0</v>
      </c>
      <c r="G33" s="685">
        <f>'7&amp;8 Sleep'!$N310+'7&amp;8 Sleep'!$AA310</f>
        <v>0</v>
      </c>
      <c r="H33" s="660">
        <f t="shared" si="7"/>
        <v>0.53800663462301312</v>
      </c>
      <c r="I33" s="660">
        <f>'7&amp;8 Day'!$N100+'7&amp;8 Day'!$AA100</f>
        <v>0.26339260939799591</v>
      </c>
      <c r="J33" s="660">
        <f>'7&amp;8 Day'!$N152+'7&amp;8 Day'!$AA152</f>
        <v>0.19860075597899096</v>
      </c>
      <c r="K33" s="660">
        <f>'7&amp;8 Day'!$N204+'7&amp;8 Day'!$AA204</f>
        <v>0</v>
      </c>
      <c r="L33" s="660">
        <f>'7&amp;8 Day'!$N257+'7&amp;8 Day'!$AA257</f>
        <v>0</v>
      </c>
      <c r="M33" s="660">
        <f>'7&amp;8 Day'!$N310+'7&amp;8 Day'!$AA310</f>
        <v>0</v>
      </c>
      <c r="N33" s="683">
        <f t="shared" si="8"/>
        <v>0.58702135727667026</v>
      </c>
      <c r="O33" s="684">
        <f>'7&amp;8 SU'!$N100+'7&amp;8 SU'!$AA100</f>
        <v>1.3027172105788427E-3</v>
      </c>
      <c r="P33" s="684">
        <f>'7&amp;8 SU'!$N152+'7&amp;8 SU'!$AA152</f>
        <v>0.41166256000851897</v>
      </c>
      <c r="Q33" s="684">
        <f>'7&amp;8 SU'!$N204+'7&amp;8 SU'!$AA204</f>
        <v>0</v>
      </c>
      <c r="R33" s="684">
        <f>'7&amp;8 SU'!$N257+'7&amp;8 SU'!$AA257</f>
        <v>1.3365504231868371E-5</v>
      </c>
      <c r="S33" s="685">
        <f>'7&amp;8 SU'!$N310+'7&amp;8 SU'!$AA310</f>
        <v>0</v>
      </c>
      <c r="T33" s="664">
        <f>B33*'Market Data'!$C$52+H33*'Market Data'!$M$52+N33*'Market Data'!$W$52</f>
        <v>0.39385639158672442</v>
      </c>
      <c r="U33" s="432">
        <f>SUM(C33:G33)*'Market Data'!$C$52+SUM(I33:M33)*'Market Data'!$M$52+SUM(O33:S33)*'Market Data'!$W$52</f>
        <v>0.60614360841327553</v>
      </c>
    </row>
    <row r="34" spans="1:26" ht="15" x14ac:dyDescent="0.25">
      <c r="A34" s="403">
        <v>2032</v>
      </c>
      <c r="B34" s="675">
        <f t="shared" si="6"/>
        <v>0.13097388429586609</v>
      </c>
      <c r="C34" s="676">
        <f>'7&amp;8 Sleep'!$N101+'7&amp;8 Sleep'!$AA101</f>
        <v>0.49439257940717268</v>
      </c>
      <c r="D34" s="676">
        <f>'7&amp;8 Sleep'!$N153+'7&amp;8 Sleep'!$AA153</f>
        <v>0.37463353629696128</v>
      </c>
      <c r="E34" s="676">
        <f>'7&amp;8 Sleep'!$N205+'7&amp;8 Sleep'!$AA205</f>
        <v>0</v>
      </c>
      <c r="F34" s="676">
        <f>'7&amp;8 Sleep'!$N258+'7&amp;8 Sleep'!$AA258</f>
        <v>0</v>
      </c>
      <c r="G34" s="677">
        <f>'7&amp;8 Sleep'!$N311+'7&amp;8 Sleep'!$AA311</f>
        <v>0</v>
      </c>
      <c r="H34" s="658">
        <f t="shared" si="7"/>
        <v>0.46916897805509139</v>
      </c>
      <c r="I34" s="658">
        <f>'7&amp;8 Day'!$N101+'7&amp;8 Day'!$AA101</f>
        <v>0.30126766835214586</v>
      </c>
      <c r="J34" s="658">
        <f>'7&amp;8 Day'!$N153+'7&amp;8 Day'!$AA153</f>
        <v>0.22956335359276278</v>
      </c>
      <c r="K34" s="658">
        <f>'7&amp;8 Day'!$N205+'7&amp;8 Day'!$AA205</f>
        <v>0</v>
      </c>
      <c r="L34" s="658">
        <f>'7&amp;8 Day'!$N258+'7&amp;8 Day'!$AA258</f>
        <v>0</v>
      </c>
      <c r="M34" s="658">
        <f>'7&amp;8 Day'!$N311+'7&amp;8 Day'!$AA311</f>
        <v>0</v>
      </c>
      <c r="N34" s="675">
        <f t="shared" si="8"/>
        <v>0.5524477932296854</v>
      </c>
      <c r="O34" s="676">
        <f>'7&amp;8 SU'!$N101+'7&amp;8 SU'!$AA101</f>
        <v>2.1980585871786296E-3</v>
      </c>
      <c r="P34" s="676">
        <f>'7&amp;8 SU'!$N153+'7&amp;8 SU'!$AA153</f>
        <v>0.44530443378101664</v>
      </c>
      <c r="Q34" s="676">
        <f>'7&amp;8 SU'!$N205+'7&amp;8 SU'!$AA205</f>
        <v>0</v>
      </c>
      <c r="R34" s="676">
        <f>'7&amp;8 SU'!$N258+'7&amp;8 SU'!$AA258</f>
        <v>4.9714402119263111E-5</v>
      </c>
      <c r="S34" s="677">
        <f>'7&amp;8 SU'!$N311+'7&amp;8 SU'!$AA311</f>
        <v>0</v>
      </c>
      <c r="T34" s="662">
        <f>B34*'Market Data'!$C$52+H34*'Market Data'!$M$52+N34*'Market Data'!$W$52</f>
        <v>0.33041051247503084</v>
      </c>
      <c r="U34" s="425">
        <f>SUM(C34:G34)*'Market Data'!$C$52+SUM(I34:M34)*'Market Data'!$M$52+SUM(O34:S34)*'Market Data'!$W$52</f>
        <v>0.66958948752496905</v>
      </c>
    </row>
    <row r="35" spans="1:26" ht="15" x14ac:dyDescent="0.25">
      <c r="A35" s="403">
        <v>2033</v>
      </c>
      <c r="B35" s="675">
        <f t="shared" si="6"/>
        <v>9.8573915135697909E-2</v>
      </c>
      <c r="C35" s="676">
        <f>'7&amp;8 Sleep'!$N102+'7&amp;8 Sleep'!$AA102</f>
        <v>0.50652727654727381</v>
      </c>
      <c r="D35" s="676">
        <f>'7&amp;8 Sleep'!$N154+'7&amp;8 Sleep'!$AA154</f>
        <v>0.39489880831702823</v>
      </c>
      <c r="E35" s="676">
        <f>'7&amp;8 Sleep'!$N206+'7&amp;8 Sleep'!$AA206</f>
        <v>0</v>
      </c>
      <c r="F35" s="676">
        <f>'7&amp;8 Sleep'!$N259+'7&amp;8 Sleep'!$AA259</f>
        <v>0</v>
      </c>
      <c r="G35" s="677">
        <f>'7&amp;8 Sleep'!$N312+'7&amp;8 Sleep'!$AA312</f>
        <v>0</v>
      </c>
      <c r="H35" s="658">
        <f t="shared" si="7"/>
        <v>0.43276937371820212</v>
      </c>
      <c r="I35" s="658">
        <f>'7&amp;8 Day'!$N102+'7&amp;8 Day'!$AA102</f>
        <v>0.32078115647864847</v>
      </c>
      <c r="J35" s="658">
        <f>'7&amp;8 Day'!$N154+'7&amp;8 Day'!$AA154</f>
        <v>0.24644946980314947</v>
      </c>
      <c r="K35" s="658">
        <f>'7&amp;8 Day'!$N206+'7&amp;8 Day'!$AA206</f>
        <v>0</v>
      </c>
      <c r="L35" s="658">
        <f>'7&amp;8 Day'!$N259+'7&amp;8 Day'!$AA259</f>
        <v>0</v>
      </c>
      <c r="M35" s="658">
        <f>'7&amp;8 Day'!$N312+'7&amp;8 Day'!$AA312</f>
        <v>0</v>
      </c>
      <c r="N35" s="675">
        <f t="shared" si="8"/>
        <v>0.53566620268810594</v>
      </c>
      <c r="O35" s="676">
        <f>'7&amp;8 SU'!$N102+'7&amp;8 SU'!$AA102</f>
        <v>2.1285649607022546E-3</v>
      </c>
      <c r="P35" s="676">
        <f>'7&amp;8 SU'!$N154+'7&amp;8 SU'!$AA154</f>
        <v>0.46206296465886654</v>
      </c>
      <c r="Q35" s="676">
        <f>'7&amp;8 SU'!$N206+'7&amp;8 SU'!$AA206</f>
        <v>0</v>
      </c>
      <c r="R35" s="676">
        <f>'7&amp;8 SU'!$N259+'7&amp;8 SU'!$AA259</f>
        <v>1.4226769232527535E-4</v>
      </c>
      <c r="S35" s="677">
        <f>'7&amp;8 SU'!$N312+'7&amp;8 SU'!$AA312</f>
        <v>0</v>
      </c>
      <c r="T35" s="662">
        <f>B35*'Market Data'!$C$52+H35*'Market Data'!$M$52+N35*'Market Data'!$W$52</f>
        <v>0.3011710221915791</v>
      </c>
      <c r="U35" s="425">
        <f>SUM(C35:G35)*'Market Data'!$C$52+SUM(I35:M35)*'Market Data'!$M$52+SUM(O35:S35)*'Market Data'!$W$52</f>
        <v>0.6988289778084209</v>
      </c>
    </row>
    <row r="36" spans="1:26" ht="15" x14ac:dyDescent="0.25">
      <c r="A36" s="403">
        <v>2034</v>
      </c>
      <c r="B36" s="675">
        <f t="shared" si="6"/>
        <v>8.4716992700946792E-2</v>
      </c>
      <c r="C36" s="676">
        <f>'7&amp;8 Sleep'!$N103+'7&amp;8 Sleep'!$AA103</f>
        <v>0.51416450565660532</v>
      </c>
      <c r="D36" s="676">
        <f>'7&amp;8 Sleep'!$N155+'7&amp;8 Sleep'!$AA155</f>
        <v>0.40111850164244789</v>
      </c>
      <c r="E36" s="676">
        <f>'7&amp;8 Sleep'!$N207+'7&amp;8 Sleep'!$AA207</f>
        <v>0</v>
      </c>
      <c r="F36" s="676">
        <f>'7&amp;8 Sleep'!$N260+'7&amp;8 Sleep'!$AA260</f>
        <v>0</v>
      </c>
      <c r="G36" s="677">
        <f>'7&amp;8 Sleep'!$N313+'7&amp;8 Sleep'!$AA313</f>
        <v>0</v>
      </c>
      <c r="H36" s="658">
        <f t="shared" si="7"/>
        <v>0.41184795959246201</v>
      </c>
      <c r="I36" s="658">
        <f>'7&amp;8 Day'!$N103+'7&amp;8 Day'!$AA103</f>
        <v>0.33336675512807129</v>
      </c>
      <c r="J36" s="658">
        <f>'7&amp;8 Day'!$N155+'7&amp;8 Day'!$AA155</f>
        <v>0.25478528527946676</v>
      </c>
      <c r="K36" s="658">
        <f>'7&amp;8 Day'!$N207+'7&amp;8 Day'!$AA207</f>
        <v>0</v>
      </c>
      <c r="L36" s="658">
        <f>'7&amp;8 Day'!$N260+'7&amp;8 Day'!$AA260</f>
        <v>0</v>
      </c>
      <c r="M36" s="658">
        <f>'7&amp;8 Day'!$N313+'7&amp;8 Day'!$AA313</f>
        <v>0</v>
      </c>
      <c r="N36" s="675">
        <f t="shared" si="8"/>
        <v>0.53034630004422034</v>
      </c>
      <c r="O36" s="676">
        <f>'7&amp;8 SU'!$N103+'7&amp;8 SU'!$AA103</f>
        <v>1.4386936428761161E-3</v>
      </c>
      <c r="P36" s="676">
        <f>'7&amp;8 SU'!$N155+'7&amp;8 SU'!$AA155</f>
        <v>0.46795596224057173</v>
      </c>
      <c r="Q36" s="676">
        <f>'7&amp;8 SU'!$N207+'7&amp;8 SU'!$AA207</f>
        <v>0</v>
      </c>
      <c r="R36" s="676">
        <f>'7&amp;8 SU'!$N260+'7&amp;8 SU'!$AA260</f>
        <v>2.5904407233173733E-4</v>
      </c>
      <c r="S36" s="677">
        <f>'7&amp;8 SU'!$N313+'7&amp;8 SU'!$AA313</f>
        <v>0</v>
      </c>
      <c r="T36" s="662">
        <f>B36*'Market Data'!$C$52+H36*'Market Data'!$M$52+N36*'Market Data'!$W$52</f>
        <v>0.28779343661283519</v>
      </c>
      <c r="U36" s="425">
        <f>SUM(C36:G36)*'Market Data'!$C$52+SUM(I36:M36)*'Market Data'!$M$52+SUM(O36:S36)*'Market Data'!$W$52</f>
        <v>0.71220656338716481</v>
      </c>
    </row>
    <row r="37" spans="1:26" ht="15" x14ac:dyDescent="0.25">
      <c r="A37" s="402">
        <v>2035</v>
      </c>
      <c r="B37" s="678">
        <f t="shared" si="6"/>
        <v>8.0104768570655405E-2</v>
      </c>
      <c r="C37" s="679">
        <f>'7&amp;8 Sleep'!$N104+'7&amp;8 Sleep'!$AA104</f>
        <v>0.51480584171975863</v>
      </c>
      <c r="D37" s="679">
        <f>'7&amp;8 Sleep'!$N156+'7&amp;8 Sleep'!$AA156</f>
        <v>0.40508938970958597</v>
      </c>
      <c r="E37" s="679">
        <f>'7&amp;8 Sleep'!$N208+'7&amp;8 Sleep'!$AA208</f>
        <v>0</v>
      </c>
      <c r="F37" s="679">
        <f>'7&amp;8 Sleep'!$N261+'7&amp;8 Sleep'!$AA261</f>
        <v>0</v>
      </c>
      <c r="G37" s="680">
        <f>'7&amp;8 Sleep'!$N314+'7&amp;8 Sleep'!$AA314</f>
        <v>0</v>
      </c>
      <c r="H37" s="659">
        <f t="shared" si="7"/>
        <v>0.4031739309434561</v>
      </c>
      <c r="I37" s="659">
        <f>'7&amp;8 Day'!$N104+'7&amp;8 Day'!$AA104</f>
        <v>0.33611368223795857</v>
      </c>
      <c r="J37" s="659">
        <f>'7&amp;8 Day'!$N156+'7&amp;8 Day'!$AA156</f>
        <v>0.26071238681858533</v>
      </c>
      <c r="K37" s="659">
        <f>'7&amp;8 Day'!$N208+'7&amp;8 Day'!$AA208</f>
        <v>0</v>
      </c>
      <c r="L37" s="659">
        <f>'7&amp;8 Day'!$N261+'7&amp;8 Day'!$AA261</f>
        <v>0</v>
      </c>
      <c r="M37" s="659">
        <f>'7&amp;8 Day'!$N314+'7&amp;8 Day'!$AA314</f>
        <v>0</v>
      </c>
      <c r="N37" s="678">
        <f t="shared" si="8"/>
        <v>0.52556837355363883</v>
      </c>
      <c r="O37" s="679">
        <f>'7&amp;8 SU'!$N104+'7&amp;8 SU'!$AA104</f>
        <v>7.8442226726356729E-4</v>
      </c>
      <c r="P37" s="679">
        <f>'7&amp;8 SU'!$N156+'7&amp;8 SU'!$AA156</f>
        <v>0.47320437021517187</v>
      </c>
      <c r="Q37" s="679">
        <f>'7&amp;8 SU'!$N208+'7&amp;8 SU'!$AA208</f>
        <v>0</v>
      </c>
      <c r="R37" s="679">
        <f>'7&amp;8 SU'!$N261+'7&amp;8 SU'!$AA261</f>
        <v>4.4283396392576083E-4</v>
      </c>
      <c r="S37" s="680">
        <f>'7&amp;8 SU'!$N314+'7&amp;8 SU'!$AA314</f>
        <v>0</v>
      </c>
      <c r="T37" s="663">
        <f>B37*'Market Data'!$C$52+H37*'Market Data'!$M$52+N37*'Market Data'!$W$52</f>
        <v>0.282097549988512</v>
      </c>
      <c r="U37" s="428">
        <f>SUM(C37:G37)*'Market Data'!$C$52+SUM(I37:M37)*'Market Data'!$M$52+SUM(O37:S37)*'Market Data'!$W$52</f>
        <v>0.717902450011488</v>
      </c>
    </row>
    <row r="38" spans="1:26" ht="15" x14ac:dyDescent="0.25">
      <c r="A38" s="648">
        <v>2036</v>
      </c>
      <c r="B38" s="683">
        <f t="shared" si="6"/>
        <v>7.2797968732242868E-2</v>
      </c>
      <c r="C38" s="684">
        <f>'7&amp;8 Sleep'!$N105+'7&amp;8 Sleep'!$AA105</f>
        <v>0.51186119486009207</v>
      </c>
      <c r="D38" s="684">
        <f>'7&amp;8 Sleep'!$N157+'7&amp;8 Sleep'!$AA157</f>
        <v>0.41534083640766506</v>
      </c>
      <c r="E38" s="684">
        <f>'7&amp;8 Sleep'!$N209+'7&amp;8 Sleep'!$AA209</f>
        <v>0</v>
      </c>
      <c r="F38" s="684">
        <f>'7&amp;8 Sleep'!$N262+'7&amp;8 Sleep'!$AA262</f>
        <v>0</v>
      </c>
      <c r="G38" s="685">
        <f>'7&amp;8 Sleep'!$N315+'7&amp;8 Sleep'!$AA315</f>
        <v>0</v>
      </c>
      <c r="H38" s="660">
        <f t="shared" si="7"/>
        <v>0.38618899362349624</v>
      </c>
      <c r="I38" s="660">
        <f>'7&amp;8 Day'!$N105+'7&amp;8 Day'!$AA105</f>
        <v>0.34271759326914597</v>
      </c>
      <c r="J38" s="660">
        <f>'7&amp;8 Day'!$N157+'7&amp;8 Day'!$AA157</f>
        <v>0.27109341310735779</v>
      </c>
      <c r="K38" s="660">
        <f>'7&amp;8 Day'!$N209+'7&amp;8 Day'!$AA209</f>
        <v>0</v>
      </c>
      <c r="L38" s="660">
        <f>'7&amp;8 Day'!$N262+'7&amp;8 Day'!$AA262</f>
        <v>0</v>
      </c>
      <c r="M38" s="660">
        <f>'7&amp;8 Day'!$N315+'7&amp;8 Day'!$AA315</f>
        <v>0</v>
      </c>
      <c r="N38" s="683">
        <f t="shared" si="8"/>
        <v>0.5024943589854044</v>
      </c>
      <c r="O38" s="684">
        <f>'7&amp;8 SU'!$N105+'7&amp;8 SU'!$AA105</f>
        <v>4.3536313961176284E-3</v>
      </c>
      <c r="P38" s="684">
        <f>'7&amp;8 SU'!$N157+'7&amp;8 SU'!$AA157</f>
        <v>0.49252102390454927</v>
      </c>
      <c r="Q38" s="684">
        <f>'7&amp;8 SU'!$N209+'7&amp;8 SU'!$AA209</f>
        <v>0</v>
      </c>
      <c r="R38" s="684">
        <f>'7&amp;8 SU'!$N262+'7&amp;8 SU'!$AA262</f>
        <v>6.309857139287188E-4</v>
      </c>
      <c r="S38" s="685">
        <f>'7&amp;8 SU'!$N315+'7&amp;8 SU'!$AA315</f>
        <v>0</v>
      </c>
      <c r="T38" s="664">
        <f>B38*'Market Data'!$C$52+H38*'Market Data'!$M$52+N38*'Market Data'!$W$52</f>
        <v>0.26809073582625254</v>
      </c>
      <c r="U38" s="432">
        <f>SUM(C38:G38)*'Market Data'!$C$52+SUM(I38:M38)*'Market Data'!$M$52+SUM(O38:S38)*'Market Data'!$W$52</f>
        <v>0.73190926417374735</v>
      </c>
    </row>
    <row r="39" spans="1:26" ht="15" x14ac:dyDescent="0.25">
      <c r="A39" s="403">
        <v>2037</v>
      </c>
      <c r="B39" s="675">
        <f t="shared" si="6"/>
        <v>7.1807734213277685E-2</v>
      </c>
      <c r="C39" s="676">
        <f>'7&amp;8 Sleep'!$N106+'7&amp;8 Sleep'!$AA106</f>
        <v>0.5086186467249032</v>
      </c>
      <c r="D39" s="676">
        <f>'7&amp;8 Sleep'!$N158+'7&amp;8 Sleep'!$AA158</f>
        <v>0.41957361906181917</v>
      </c>
      <c r="E39" s="676">
        <f>'7&amp;8 Sleep'!$N210+'7&amp;8 Sleep'!$AA210</f>
        <v>0</v>
      </c>
      <c r="F39" s="676">
        <f>'7&amp;8 Sleep'!$N263+'7&amp;8 Sleep'!$AA263</f>
        <v>0</v>
      </c>
      <c r="G39" s="677">
        <f>'7&amp;8 Sleep'!$N316+'7&amp;8 Sleep'!$AA316</f>
        <v>0</v>
      </c>
      <c r="H39" s="658">
        <f t="shared" si="7"/>
        <v>0.37619702603086602</v>
      </c>
      <c r="I39" s="658">
        <f>'7&amp;8 Day'!$N106+'7&amp;8 Day'!$AA106</f>
        <v>0.34771771687214709</v>
      </c>
      <c r="J39" s="658">
        <f>'7&amp;8 Day'!$N158+'7&amp;8 Day'!$AA158</f>
        <v>0.27608525709698689</v>
      </c>
      <c r="K39" s="658">
        <f>'7&amp;8 Day'!$N210+'7&amp;8 Day'!$AA210</f>
        <v>0</v>
      </c>
      <c r="L39" s="658">
        <f>'7&amp;8 Day'!$N263+'7&amp;8 Day'!$AA263</f>
        <v>0</v>
      </c>
      <c r="M39" s="658">
        <f>'7&amp;8 Day'!$N316+'7&amp;8 Day'!$AA316</f>
        <v>0</v>
      </c>
      <c r="N39" s="675">
        <f t="shared" si="8"/>
        <v>0.48147291699930383</v>
      </c>
      <c r="O39" s="676">
        <f>'7&amp;8 SU'!$N106+'7&amp;8 SU'!$AA106</f>
        <v>8.1532784959796514E-3</v>
      </c>
      <c r="P39" s="676">
        <f>'7&amp;8 SU'!$N158+'7&amp;8 SU'!$AA158</f>
        <v>0.50956803539381257</v>
      </c>
      <c r="Q39" s="676">
        <f>'7&amp;8 SU'!$N210+'7&amp;8 SU'!$AA210</f>
        <v>0</v>
      </c>
      <c r="R39" s="676">
        <f>'7&amp;8 SU'!$N263+'7&amp;8 SU'!$AA263</f>
        <v>8.0576911090386228E-4</v>
      </c>
      <c r="S39" s="677">
        <f>'7&amp;8 SU'!$N316+'7&amp;8 SU'!$AA316</f>
        <v>0</v>
      </c>
      <c r="T39" s="662">
        <f>B39*'Market Data'!$C$52+H39*'Market Data'!$M$52+N39*'Market Data'!$W$52</f>
        <v>0.2594313183279231</v>
      </c>
      <c r="U39" s="425">
        <f>SUM(C39:G39)*'Market Data'!$C$52+SUM(I39:M39)*'Market Data'!$M$52+SUM(O39:S39)*'Market Data'!$W$52</f>
        <v>0.74056868167207679</v>
      </c>
    </row>
    <row r="40" spans="1:26" ht="15" x14ac:dyDescent="0.25">
      <c r="A40" s="403">
        <v>2038</v>
      </c>
      <c r="B40" s="675">
        <f t="shared" si="6"/>
        <v>7.1625652947340468E-2</v>
      </c>
      <c r="C40" s="676">
        <f>'7&amp;8 Sleep'!$N107+'7&amp;8 Sleep'!$AA107</f>
        <v>0.50204048882063612</v>
      </c>
      <c r="D40" s="676">
        <f>'7&amp;8 Sleep'!$N159+'7&amp;8 Sleep'!$AA159</f>
        <v>0.42633385823202347</v>
      </c>
      <c r="E40" s="676">
        <f>'7&amp;8 Sleep'!$N211+'7&amp;8 Sleep'!$AA211</f>
        <v>0</v>
      </c>
      <c r="F40" s="676">
        <f>'7&amp;8 Sleep'!$N264+'7&amp;8 Sleep'!$AA264</f>
        <v>0</v>
      </c>
      <c r="G40" s="677">
        <f>'7&amp;8 Sleep'!$N317+'7&amp;8 Sleep'!$AA317</f>
        <v>0</v>
      </c>
      <c r="H40" s="658">
        <f t="shared" si="7"/>
        <v>0.36555950191089037</v>
      </c>
      <c r="I40" s="658">
        <f>'7&amp;8 Day'!$N107+'7&amp;8 Day'!$AA107</f>
        <v>0.34934595137323216</v>
      </c>
      <c r="J40" s="658">
        <f>'7&amp;8 Day'!$N159+'7&amp;8 Day'!$AA159</f>
        <v>0.28509454671587753</v>
      </c>
      <c r="K40" s="658">
        <f>'7&amp;8 Day'!$N211+'7&amp;8 Day'!$AA211</f>
        <v>0</v>
      </c>
      <c r="L40" s="658">
        <f>'7&amp;8 Day'!$N264+'7&amp;8 Day'!$AA264</f>
        <v>0</v>
      </c>
      <c r="M40" s="658">
        <f>'7&amp;8 Day'!$N317+'7&amp;8 Day'!$AA317</f>
        <v>0</v>
      </c>
      <c r="N40" s="675">
        <f t="shared" si="8"/>
        <v>0.4591037439539194</v>
      </c>
      <c r="O40" s="676">
        <f>'7&amp;8 SU'!$N107+'7&amp;8 SU'!$AA107</f>
        <v>1.7195447018633694E-2</v>
      </c>
      <c r="P40" s="676">
        <f>'7&amp;8 SU'!$N159+'7&amp;8 SU'!$AA159</f>
        <v>0.52261468288116075</v>
      </c>
      <c r="Q40" s="676">
        <f>'7&amp;8 SU'!$N211+'7&amp;8 SU'!$AA211</f>
        <v>0</v>
      </c>
      <c r="R40" s="676">
        <f>'7&amp;8 SU'!$N264+'7&amp;8 SU'!$AA264</f>
        <v>1.0861261462861546E-3</v>
      </c>
      <c r="S40" s="677">
        <f>'7&amp;8 SU'!$N317+'7&amp;8 SU'!$AA317</f>
        <v>0</v>
      </c>
      <c r="T40" s="662">
        <f>B40*'Market Data'!$C$52+H40*'Market Data'!$M$52+N40*'Market Data'!$W$52</f>
        <v>0.25063058284145484</v>
      </c>
      <c r="U40" s="425">
        <f>SUM(C40:G40)*'Market Data'!$C$52+SUM(I40:M40)*'Market Data'!$M$52+SUM(O40:S40)*'Market Data'!$W$52</f>
        <v>0.74936941715854521</v>
      </c>
    </row>
    <row r="41" spans="1:26" ht="15" x14ac:dyDescent="0.25">
      <c r="A41" s="403">
        <v>2039</v>
      </c>
      <c r="B41" s="675">
        <f t="shared" si="6"/>
        <v>6.7598629939109034E-2</v>
      </c>
      <c r="C41" s="676">
        <f>'7&amp;8 Sleep'!$N108+'7&amp;8 Sleep'!$AA108</f>
        <v>0.49719789165371614</v>
      </c>
      <c r="D41" s="676">
        <f>'7&amp;8 Sleep'!$N160+'7&amp;8 Sleep'!$AA160</f>
        <v>0.43520347840717483</v>
      </c>
      <c r="E41" s="676">
        <f>'7&amp;8 Sleep'!$N212+'7&amp;8 Sleep'!$AA212</f>
        <v>0</v>
      </c>
      <c r="F41" s="676">
        <f>'7&amp;8 Sleep'!$N265+'7&amp;8 Sleep'!$AA265</f>
        <v>0</v>
      </c>
      <c r="G41" s="677">
        <f>'7&amp;8 Sleep'!$N318+'7&amp;8 Sleep'!$AA318</f>
        <v>0</v>
      </c>
      <c r="H41" s="658">
        <f t="shared" si="7"/>
        <v>0.35134038175392557</v>
      </c>
      <c r="I41" s="658">
        <f>'7&amp;8 Day'!$N108+'7&amp;8 Day'!$AA108</f>
        <v>0.35391950337285438</v>
      </c>
      <c r="J41" s="658">
        <f>'7&amp;8 Day'!$N160+'7&amp;8 Day'!$AA160</f>
        <v>0.29469760604421158</v>
      </c>
      <c r="K41" s="658">
        <f>'7&amp;8 Day'!$N212+'7&amp;8 Day'!$AA212</f>
        <v>0</v>
      </c>
      <c r="L41" s="658">
        <f>'7&amp;8 Day'!$N265+'7&amp;8 Day'!$AA265</f>
        <v>4.2508829008436978E-5</v>
      </c>
      <c r="M41" s="658">
        <f>'7&amp;8 Day'!$N318+'7&amp;8 Day'!$AA318</f>
        <v>0</v>
      </c>
      <c r="N41" s="675">
        <f t="shared" si="8"/>
        <v>0.41719224021413226</v>
      </c>
      <c r="O41" s="676">
        <f>'7&amp;8 SU'!$N108+'7&amp;8 SU'!$AA108</f>
        <v>3.6613530825142307E-2</v>
      </c>
      <c r="P41" s="676">
        <f>'7&amp;8 SU'!$N160+'7&amp;8 SU'!$AA160</f>
        <v>0.54463783813606537</v>
      </c>
      <c r="Q41" s="676">
        <f>'7&amp;8 SU'!$N212+'7&amp;8 SU'!$AA212</f>
        <v>0</v>
      </c>
      <c r="R41" s="676">
        <f>'7&amp;8 SU'!$N265+'7&amp;8 SU'!$AA265</f>
        <v>1.5563908246600305E-3</v>
      </c>
      <c r="S41" s="677">
        <f>'7&amp;8 SU'!$N318+'7&amp;8 SU'!$AA318</f>
        <v>0</v>
      </c>
      <c r="T41" s="662">
        <f>B41*'Market Data'!$C$52+H41*'Market Data'!$M$52+N41*'Market Data'!$W$52</f>
        <v>0.23384727522810345</v>
      </c>
      <c r="U41" s="425">
        <f>SUM(C41:G41)*'Market Data'!$C$52+SUM(I41:M41)*'Market Data'!$M$52+SUM(O41:S41)*'Market Data'!$W$52</f>
        <v>0.76615272477189644</v>
      </c>
    </row>
    <row r="42" spans="1:26" ht="15" x14ac:dyDescent="0.25">
      <c r="A42" s="402">
        <v>2040</v>
      </c>
      <c r="B42" s="678">
        <f t="shared" si="6"/>
        <v>6.6359018001318382E-2</v>
      </c>
      <c r="C42" s="679">
        <f>'7&amp;8 Sleep'!$N109+'7&amp;8 Sleep'!$AA109</f>
        <v>0.49075694827168082</v>
      </c>
      <c r="D42" s="679">
        <f>'7&amp;8 Sleep'!$N161+'7&amp;8 Sleep'!$AA161</f>
        <v>0.4428840337270008</v>
      </c>
      <c r="E42" s="679">
        <f>'7&amp;8 Sleep'!$N213+'7&amp;8 Sleep'!$AA213</f>
        <v>0</v>
      </c>
      <c r="F42" s="679">
        <f>'7&amp;8 Sleep'!$N266+'7&amp;8 Sleep'!$AA266</f>
        <v>0</v>
      </c>
      <c r="G42" s="680">
        <f>'7&amp;8 Sleep'!$N319+'7&amp;8 Sleep'!$AA319</f>
        <v>0</v>
      </c>
      <c r="H42" s="841">
        <f t="shared" si="7"/>
        <v>0.33639712393568277</v>
      </c>
      <c r="I42" s="841">
        <f>'7&amp;8 Day'!$N109+'7&amp;8 Day'!$AA109</f>
        <v>0.35881834893587955</v>
      </c>
      <c r="J42" s="841">
        <f>'7&amp;8 Day'!$N161+'7&amp;8 Day'!$AA161</f>
        <v>0.30417674972647019</v>
      </c>
      <c r="K42" s="841">
        <f>'7&amp;8 Day'!$N213+'7&amp;8 Day'!$AA213</f>
        <v>0</v>
      </c>
      <c r="L42" s="841">
        <f>'7&amp;8 Day'!$N266+'7&amp;8 Day'!$AA266</f>
        <v>6.0777740196749357E-4</v>
      </c>
      <c r="M42" s="841">
        <f>'7&amp;8 Day'!$N319+'7&amp;8 Day'!$AA319</f>
        <v>0</v>
      </c>
      <c r="N42" s="675">
        <f t="shared" si="8"/>
        <v>0.36570091790656656</v>
      </c>
      <c r="O42" s="676">
        <f>'7&amp;8 SU'!$N109+'7&amp;8 SU'!$AA109</f>
        <v>8.0199780236917595E-2</v>
      </c>
      <c r="P42" s="676">
        <f>'7&amp;8 SU'!$N161+'7&amp;8 SU'!$AA161</f>
        <v>0.55183396438245058</v>
      </c>
      <c r="Q42" s="676">
        <f>'7&amp;8 SU'!$N213+'7&amp;8 SU'!$AA213</f>
        <v>0</v>
      </c>
      <c r="R42" s="676">
        <f>'7&amp;8 SU'!$N266+'7&amp;8 SU'!$AA266</f>
        <v>2.2653374740651921E-3</v>
      </c>
      <c r="S42" s="677">
        <f>'7&amp;8 SU'!$N319+'7&amp;8 SU'!$AA319</f>
        <v>0</v>
      </c>
      <c r="T42" s="663">
        <f>B42*'Market Data'!$C$52+H42*'Market Data'!$M$52+N42*'Market Data'!$W$52</f>
        <v>0.21563996636757274</v>
      </c>
      <c r="U42" s="428">
        <f>SUM(C42:G42)*'Market Data'!$C$52+SUM(I42:M42)*'Market Data'!$M$52+SUM(O42:S42)*'Market Data'!$W$52</f>
        <v>0.78436003363242712</v>
      </c>
    </row>
    <row r="43" spans="1:26" ht="15" x14ac:dyDescent="0.25">
      <c r="A43" s="403">
        <v>2041</v>
      </c>
      <c r="B43" s="683">
        <f t="shared" si="6"/>
        <v>6.3683601204502338E-2</v>
      </c>
      <c r="C43" s="684">
        <f>'7&amp;8 Sleep'!$N110+'7&amp;8 Sleep'!$AA110</f>
        <v>0.48656161271114029</v>
      </c>
      <c r="D43" s="684">
        <f>'7&amp;8 Sleep'!$N162+'7&amp;8 Sleep'!$AA162</f>
        <v>0.44975478608435737</v>
      </c>
      <c r="E43" s="684">
        <f>'7&amp;8 Sleep'!$N214+'7&amp;8 Sleep'!$AA214</f>
        <v>0</v>
      </c>
      <c r="F43" s="684">
        <f>'7&amp;8 Sleep'!$N267+'7&amp;8 Sleep'!$AA267</f>
        <v>0</v>
      </c>
      <c r="G43" s="685">
        <f>'7&amp;8 Sleep'!$N320+'7&amp;8 Sleep'!$AA320</f>
        <v>0</v>
      </c>
      <c r="H43" s="660">
        <f t="shared" si="7"/>
        <v>0.31064883807464283</v>
      </c>
      <c r="I43" s="660">
        <f>'7&amp;8 Day'!$N110+'7&amp;8 Day'!$AA110</f>
        <v>0.36782159923807861</v>
      </c>
      <c r="J43" s="660">
        <f>'7&amp;8 Day'!$N162+'7&amp;8 Day'!$AA162</f>
        <v>0.31681913143472323</v>
      </c>
      <c r="K43" s="660">
        <f>'7&amp;8 Day'!$N214+'7&amp;8 Day'!$AA214</f>
        <v>0</v>
      </c>
      <c r="L43" s="660">
        <f>'7&amp;8 Day'!$N267+'7&amp;8 Day'!$AA267</f>
        <v>4.7104312525552746E-3</v>
      </c>
      <c r="M43" s="660">
        <f>'7&amp;8 Day'!$N320+'7&amp;8 Day'!$AA320</f>
        <v>0</v>
      </c>
      <c r="N43" s="683">
        <f t="shared" si="8"/>
        <v>0.28079222544985971</v>
      </c>
      <c r="O43" s="684">
        <f>'7&amp;8 SU'!$N110+'7&amp;8 SU'!$AA110</f>
        <v>0.16653134646392365</v>
      </c>
      <c r="P43" s="684">
        <f>'7&amp;8 SU'!$N162+'7&amp;8 SU'!$AA162</f>
        <v>0.54875664488661724</v>
      </c>
      <c r="Q43" s="684">
        <f>'7&amp;8 SU'!$N214+'7&amp;8 SU'!$AA214</f>
        <v>0</v>
      </c>
      <c r="R43" s="684">
        <f>'7&amp;8 SU'!$N267+'7&amp;8 SU'!$AA267</f>
        <v>3.9197831995994208E-3</v>
      </c>
      <c r="S43" s="685">
        <f>'7&amp;8 SU'!$N320+'7&amp;8 SU'!$AA320</f>
        <v>0</v>
      </c>
      <c r="T43" s="667">
        <f>B43*'Market Data'!$C$52+H43*'Market Data'!$M$52+N43*'Market Data'!$W$52</f>
        <v>0.18503238384910475</v>
      </c>
      <c r="U43" s="434">
        <f>SUM(C43:G43)*'Market Data'!$C$52+SUM(I43:M43)*'Market Data'!$M$52+SUM(O43:S43)*'Market Data'!$W$52</f>
        <v>0.81496761615089519</v>
      </c>
    </row>
    <row r="44" spans="1:26" ht="15" x14ac:dyDescent="0.25">
      <c r="A44" s="403">
        <v>2042</v>
      </c>
      <c r="B44" s="675">
        <f t="shared" si="6"/>
        <v>6.3931814070482429E-2</v>
      </c>
      <c r="C44" s="676">
        <f>'7&amp;8 Sleep'!$N111+'7&amp;8 Sleep'!$AA111</f>
        <v>0.48108991031741466</v>
      </c>
      <c r="D44" s="676">
        <f>'7&amp;8 Sleep'!$N163+'7&amp;8 Sleep'!$AA163</f>
        <v>0.4549349925854726</v>
      </c>
      <c r="E44" s="676">
        <f>'7&amp;8 Sleep'!$N215+'7&amp;8 Sleep'!$AA215</f>
        <v>0</v>
      </c>
      <c r="F44" s="676">
        <f>'7&amp;8 Sleep'!$N268+'7&amp;8 Sleep'!$AA268</f>
        <v>4.3283026630243995E-5</v>
      </c>
      <c r="G44" s="677">
        <f>'7&amp;8 Sleep'!$N321+'7&amp;8 Sleep'!$AA321</f>
        <v>0</v>
      </c>
      <c r="H44" s="658">
        <f t="shared" si="7"/>
        <v>0.29157647473338444</v>
      </c>
      <c r="I44" s="658">
        <f>'7&amp;8 Day'!$N111+'7&amp;8 Day'!$AA111</f>
        <v>0.36415991948085008</v>
      </c>
      <c r="J44" s="658">
        <f>'7&amp;8 Day'!$N163+'7&amp;8 Day'!$AA163</f>
        <v>0.32283311551428806</v>
      </c>
      <c r="K44" s="658">
        <f>'7&amp;8 Day'!$N215+'7&amp;8 Day'!$AA215</f>
        <v>0</v>
      </c>
      <c r="L44" s="658">
        <f>'7&amp;8 Day'!$N268+'7&amp;8 Day'!$AA268</f>
        <v>2.1430490271477448E-2</v>
      </c>
      <c r="M44" s="658">
        <f>'7&amp;8 Day'!$N321+'7&amp;8 Day'!$AA321</f>
        <v>0</v>
      </c>
      <c r="N44" s="675">
        <f t="shared" si="8"/>
        <v>0.18155426115666373</v>
      </c>
      <c r="O44" s="676">
        <f>'7&amp;8 SU'!$N111+'7&amp;8 SU'!$AA111</f>
        <v>0.2385369790827247</v>
      </c>
      <c r="P44" s="676">
        <f>'7&amp;8 SU'!$N163+'7&amp;8 SU'!$AA163</f>
        <v>0.57253731066824454</v>
      </c>
      <c r="Q44" s="676">
        <f>'7&amp;8 SU'!$N215+'7&amp;8 SU'!$AA215</f>
        <v>8.1664269648234171E-6</v>
      </c>
      <c r="R44" s="676">
        <f>'7&amp;8 SU'!$N268+'7&amp;8 SU'!$AA268</f>
        <v>7.3632826654021731E-3</v>
      </c>
      <c r="S44" s="677">
        <f>'7&amp;8 SU'!$N321+'7&amp;8 SU'!$AA321</f>
        <v>0</v>
      </c>
      <c r="T44" s="662">
        <f>B44*'Market Data'!$C$52+H44*'Market Data'!$M$52+N44*'Market Data'!$W$52</f>
        <v>0.15368681038851076</v>
      </c>
      <c r="U44" s="425">
        <f>SUM(C44:G44)*'Market Data'!$C$52+SUM(I44:M44)*'Market Data'!$M$52+SUM(O44:S44)*'Market Data'!$W$52</f>
        <v>0.84631318961148927</v>
      </c>
    </row>
    <row r="45" spans="1:26" ht="15" x14ac:dyDescent="0.25">
      <c r="A45" s="403">
        <v>2043</v>
      </c>
      <c r="B45" s="675">
        <f t="shared" si="6"/>
        <v>6.0330357887803499E-2</v>
      </c>
      <c r="C45" s="676">
        <f>'7&amp;8 Sleep'!$N112+'7&amp;8 Sleep'!$AA112</f>
        <v>0.47752907110450454</v>
      </c>
      <c r="D45" s="676">
        <f>'7&amp;8 Sleep'!$N164+'7&amp;8 Sleep'!$AA164</f>
        <v>0.45794226253353332</v>
      </c>
      <c r="E45" s="676">
        <f>'7&amp;8 Sleep'!$N216+'7&amp;8 Sleep'!$AA216</f>
        <v>0</v>
      </c>
      <c r="F45" s="676">
        <f>'7&amp;8 Sleep'!$N269+'7&amp;8 Sleep'!$AA269</f>
        <v>4.198308474158691E-3</v>
      </c>
      <c r="G45" s="677">
        <f>'7&amp;8 Sleep'!$N322+'7&amp;8 Sleep'!$AA322</f>
        <v>0</v>
      </c>
      <c r="H45" s="658">
        <f t="shared" si="7"/>
        <v>0.274134743352903</v>
      </c>
      <c r="I45" s="658">
        <f>'7&amp;8 Day'!$N112+'7&amp;8 Day'!$AA112</f>
        <v>0.35335596210504783</v>
      </c>
      <c r="J45" s="658">
        <f>'7&amp;8 Day'!$N164+'7&amp;8 Day'!$AA164</f>
        <v>0.32182819895050951</v>
      </c>
      <c r="K45" s="658">
        <f>'7&amp;8 Day'!$N216+'7&amp;8 Day'!$AA216</f>
        <v>0</v>
      </c>
      <c r="L45" s="658">
        <f>'7&amp;8 Day'!$N269+'7&amp;8 Day'!$AA269</f>
        <v>5.0681095591539625E-2</v>
      </c>
      <c r="M45" s="658">
        <f>'7&amp;8 Day'!$N322+'7&amp;8 Day'!$AA322</f>
        <v>0</v>
      </c>
      <c r="N45" s="675">
        <f t="shared" si="8"/>
        <v>9.4766237843956214E-2</v>
      </c>
      <c r="O45" s="676">
        <f>'7&amp;8 SU'!$N112+'7&amp;8 SU'!$AA112</f>
        <v>0.32598088639414158</v>
      </c>
      <c r="P45" s="676">
        <f>'7&amp;8 SU'!$N164+'7&amp;8 SU'!$AA164</f>
        <v>0.56535256918206844</v>
      </c>
      <c r="Q45" s="676">
        <f>'7&amp;8 SU'!$N216+'7&amp;8 SU'!$AA216</f>
        <v>2.9086914855899775E-4</v>
      </c>
      <c r="R45" s="676">
        <f>'7&amp;8 SU'!$N269+'7&amp;8 SU'!$AA269</f>
        <v>1.3609437431274742E-2</v>
      </c>
      <c r="S45" s="677">
        <f>'7&amp;8 SU'!$N322+'7&amp;8 SU'!$AA322</f>
        <v>0</v>
      </c>
      <c r="T45" s="662">
        <f>B45*'Market Data'!$C$52+H45*'Market Data'!$M$52+N45*'Market Data'!$W$52</f>
        <v>0.12426012004429918</v>
      </c>
      <c r="U45" s="425">
        <f>SUM(C45:G45)*'Market Data'!$C$52+SUM(I45:M45)*'Market Data'!$M$52+SUM(O45:S45)*'Market Data'!$W$52</f>
        <v>0.8757398799557008</v>
      </c>
    </row>
    <row r="46" spans="1:26" ht="15" x14ac:dyDescent="0.25">
      <c r="A46" s="403">
        <v>2044</v>
      </c>
      <c r="B46" s="675">
        <f t="shared" si="6"/>
        <v>6.1023717857559445E-2</v>
      </c>
      <c r="C46" s="676">
        <f>'7&amp;8 Sleep'!$N113+'7&amp;8 Sleep'!$AA113</f>
        <v>0.46005837983235476</v>
      </c>
      <c r="D46" s="676">
        <f>'7&amp;8 Sleep'!$N165+'7&amp;8 Sleep'!$AA165</f>
        <v>0.44524784207257517</v>
      </c>
      <c r="E46" s="676">
        <f>'7&amp;8 Sleep'!$N217+'7&amp;8 Sleep'!$AA217</f>
        <v>0</v>
      </c>
      <c r="F46" s="676">
        <f>'7&amp;8 Sleep'!$N270+'7&amp;8 Sleep'!$AA270</f>
        <v>3.3670060237510673E-2</v>
      </c>
      <c r="G46" s="677">
        <f>'7&amp;8 Sleep'!$N323+'7&amp;8 Sleep'!$AA323</f>
        <v>0</v>
      </c>
      <c r="H46" s="658">
        <f t="shared" si="7"/>
        <v>0.2588500257707782</v>
      </c>
      <c r="I46" s="658">
        <f>'7&amp;8 Day'!$N113+'7&amp;8 Day'!$AA113</f>
        <v>0.33762545884820866</v>
      </c>
      <c r="J46" s="658">
        <f>'7&amp;8 Day'!$N165+'7&amp;8 Day'!$AA165</f>
        <v>0.31203375342560213</v>
      </c>
      <c r="K46" s="658">
        <f>'7&amp;8 Day'!$N217+'7&amp;8 Day'!$AA217</f>
        <v>1.5825332914211642E-3</v>
      </c>
      <c r="L46" s="658">
        <f>'7&amp;8 Day'!$N270+'7&amp;8 Day'!$AA270</f>
        <v>8.9908228663989787E-2</v>
      </c>
      <c r="M46" s="658">
        <f>'7&amp;8 Day'!$N323+'7&amp;8 Day'!$AA323</f>
        <v>0</v>
      </c>
      <c r="N46" s="675">
        <f t="shared" si="8"/>
        <v>3.2937917073913248E-2</v>
      </c>
      <c r="O46" s="676">
        <f>'7&amp;8 SU'!$N113+'7&amp;8 SU'!$AA113</f>
        <v>0.40242805752840527</v>
      </c>
      <c r="P46" s="676">
        <f>'7&amp;8 SU'!$N165+'7&amp;8 SU'!$AA165</f>
        <v>0.53801550660868391</v>
      </c>
      <c r="Q46" s="676">
        <f>'7&amp;8 SU'!$N217+'7&amp;8 SU'!$AA217</f>
        <v>2.5000960090959031E-3</v>
      </c>
      <c r="R46" s="676">
        <f>'7&amp;8 SU'!$N270+'7&amp;8 SU'!$AA270</f>
        <v>2.4118422779901574E-2</v>
      </c>
      <c r="S46" s="677">
        <f>'7&amp;8 SU'!$N323+'7&amp;8 SU'!$AA323</f>
        <v>0</v>
      </c>
      <c r="T46" s="662">
        <f>B46*'Market Data'!$C$52+H46*'Market Data'!$M$52+N46*'Market Data'!$W$52</f>
        <v>0.10411695968985551</v>
      </c>
      <c r="U46" s="425">
        <f>SUM(C46:G46)*'Market Data'!$C$52+SUM(I46:M46)*'Market Data'!$M$52+SUM(O46:S46)*'Market Data'!$W$52</f>
        <v>0.89588304031014454</v>
      </c>
    </row>
    <row r="47" spans="1:26" ht="15" x14ac:dyDescent="0.25">
      <c r="A47" s="402">
        <v>2045</v>
      </c>
      <c r="B47" s="678">
        <f t="shared" si="6"/>
        <v>6.0986019671820046E-2</v>
      </c>
      <c r="C47" s="679">
        <f>'7&amp;8 Sleep'!$N114+'7&amp;8 Sleep'!$AA114</f>
        <v>0.42298399629818584</v>
      </c>
      <c r="D47" s="679">
        <f>'7&amp;8 Sleep'!$N166+'7&amp;8 Sleep'!$AA166</f>
        <v>0.41226285563955711</v>
      </c>
      <c r="E47" s="679">
        <f>'7&amp;8 Sleep'!$N218+'7&amp;8 Sleep'!$AA218</f>
        <v>3.4854675690014054E-3</v>
      </c>
      <c r="F47" s="679">
        <f>'7&amp;8 Sleep'!$N271+'7&amp;8 Sleep'!$AA271</f>
        <v>0.10028166082143562</v>
      </c>
      <c r="G47" s="680">
        <f>'7&amp;8 Sleep'!$N324+'7&amp;8 Sleep'!$AA324</f>
        <v>0</v>
      </c>
      <c r="H47" s="659">
        <f t="shared" si="7"/>
        <v>0.24470369250657853</v>
      </c>
      <c r="I47" s="659">
        <f>'7&amp;8 Day'!$N114+'7&amp;8 Day'!$AA114</f>
        <v>0.31811190686708535</v>
      </c>
      <c r="J47" s="659">
        <f>'7&amp;8 Day'!$N166+'7&amp;8 Day'!$AA166</f>
        <v>0.29567296351761779</v>
      </c>
      <c r="K47" s="659">
        <f>'7&amp;8 Day'!$N218+'7&amp;8 Day'!$AA218</f>
        <v>1.5334645498104293E-2</v>
      </c>
      <c r="L47" s="659">
        <f>'7&amp;8 Day'!$N271+'7&amp;8 Day'!$AA271</f>
        <v>0.12617679161061413</v>
      </c>
      <c r="M47" s="659">
        <f>'7&amp;8 Day'!$N324+'7&amp;8 Day'!$AA324</f>
        <v>0</v>
      </c>
      <c r="N47" s="678">
        <f t="shared" si="8"/>
        <v>4.4911044778231934E-3</v>
      </c>
      <c r="O47" s="679">
        <f>'7&amp;8 SU'!$N114+'7&amp;8 SU'!$AA114</f>
        <v>0.43490139432974384</v>
      </c>
      <c r="P47" s="679">
        <f>'7&amp;8 SU'!$N166+'7&amp;8 SU'!$AA166</f>
        <v>0.5064506183456241</v>
      </c>
      <c r="Q47" s="679">
        <f>'7&amp;8 SU'!$N218+'7&amp;8 SU'!$AA218</f>
        <v>1.0652297777171874E-2</v>
      </c>
      <c r="R47" s="679">
        <f>'7&amp;8 SU'!$N271+'7&amp;8 SU'!$AA271</f>
        <v>4.3504585069636947E-2</v>
      </c>
      <c r="S47" s="680">
        <f>'7&amp;8 SU'!$N324+'7&amp;8 SU'!$AA324</f>
        <v>0</v>
      </c>
      <c r="T47" s="663">
        <f>B47*'Market Data'!$C$52+H47*'Market Data'!$M$52+N47*'Market Data'!$W$52</f>
        <v>9.2859129358113385E-2</v>
      </c>
      <c r="U47" s="428">
        <f>SUM(C47:G47)*'Market Data'!$C$52+SUM(I47:M47)*'Market Data'!$M$52+SUM(O47:S47)*'Market Data'!$W$52</f>
        <v>0.90714087064188653</v>
      </c>
      <c r="V47" s="425">
        <f>D47*'Market Data'!$C$52+J47*'Market Data'!$M$52+P47*'Market Data'!$W$52</f>
        <v>0.40766255282183494</v>
      </c>
      <c r="W47" s="425">
        <f>E47*'Market Data'!$C$52+Q47*'Market Data'!$W$52</f>
        <v>4.5135060162659014E-3</v>
      </c>
      <c r="X47" s="425">
        <f>F47*'Market Data'!$C$52+L47*'Market Data'!$M$52</f>
        <v>8.0043904002011779E-2</v>
      </c>
      <c r="Y47" s="425">
        <f>K47*'Market Data'!$M$52+R47*'Market Data'!$W$52</f>
        <v>1.5577595177219327E-2</v>
      </c>
      <c r="Z47" s="1284">
        <f>1-SUM(V47:Y47)</f>
        <v>0.49220244198266805</v>
      </c>
    </row>
    <row r="48" spans="1:26" ht="15" x14ac:dyDescent="0.25">
      <c r="A48" s="403">
        <v>2046</v>
      </c>
      <c r="B48" s="683">
        <f t="shared" si="6"/>
        <v>6.1501336540364493E-2</v>
      </c>
      <c r="C48" s="684">
        <f>'7&amp;8 Sleep'!$N115+'7&amp;8 Sleep'!$AA115</f>
        <v>0.38523887540774149</v>
      </c>
      <c r="D48" s="684">
        <f>'7&amp;8 Sleep'!$N167+'7&amp;8 Sleep'!$AA167</f>
        <v>0.37668478184309928</v>
      </c>
      <c r="E48" s="684">
        <f>'7&amp;8 Sleep'!$N219+'7&amp;8 Sleep'!$AA219</f>
        <v>2.4845273107051563E-2</v>
      </c>
      <c r="F48" s="684">
        <f>'7&amp;8 Sleep'!$N272+'7&amp;8 Sleep'!$AA272</f>
        <v>0.1517297331017432</v>
      </c>
      <c r="G48" s="685">
        <f>'7&amp;8 Sleep'!$N325+'7&amp;8 Sleep'!$AA325</f>
        <v>0</v>
      </c>
      <c r="H48" s="660">
        <f t="shared" si="7"/>
        <v>0.23851405143801352</v>
      </c>
      <c r="I48" s="660">
        <f>'7&amp;8 Day'!$N115+'7&amp;8 Day'!$AA115</f>
        <v>0.29738413659453988</v>
      </c>
      <c r="J48" s="660">
        <f>'7&amp;8 Day'!$N167+'7&amp;8 Day'!$AA167</f>
        <v>0.27894654620133236</v>
      </c>
      <c r="K48" s="660">
        <f>'7&amp;8 Day'!$N219+'7&amp;8 Day'!$AA219</f>
        <v>3.5602659943309731E-2</v>
      </c>
      <c r="L48" s="660">
        <f>'7&amp;8 Day'!$N272+'7&amp;8 Day'!$AA272</f>
        <v>0.14955260582280447</v>
      </c>
      <c r="M48" s="660">
        <f>'7&amp;8 Day'!$N325+'7&amp;8 Day'!$AA325</f>
        <v>0</v>
      </c>
      <c r="N48" s="683">
        <f t="shared" si="8"/>
        <v>3.4774761341671567E-4</v>
      </c>
      <c r="O48" s="684">
        <f>'7&amp;8 SU'!$N115+'7&amp;8 SU'!$AA115</f>
        <v>0.43297577106996687</v>
      </c>
      <c r="P48" s="684">
        <f>'7&amp;8 SU'!$N167+'7&amp;8 SU'!$AA167</f>
        <v>0.47036207936172691</v>
      </c>
      <c r="Q48" s="684">
        <f>'7&amp;8 SU'!$N219+'7&amp;8 SU'!$AA219</f>
        <v>2.946222833898763E-2</v>
      </c>
      <c r="R48" s="684">
        <f>'7&amp;8 SU'!$N272+'7&amp;8 SU'!$AA272</f>
        <v>6.6852173615901928E-2</v>
      </c>
      <c r="S48" s="685">
        <f>'7&amp;8 SU'!$N325+'7&amp;8 SU'!$AA325</f>
        <v>0</v>
      </c>
      <c r="T48" s="667">
        <f>B48*'Market Data'!$C$52+H48*'Market Data'!$M$52+N48*'Market Data'!$W$52</f>
        <v>9.0410917212675537E-2</v>
      </c>
      <c r="U48" s="434">
        <f>SUM(C48:G48)*'Market Data'!$C$52+SUM(I48:M48)*'Market Data'!$M$52+SUM(O48:S48)*'Market Data'!$W$52</f>
        <v>0.90958908278732431</v>
      </c>
    </row>
    <row r="49" spans="1:21" ht="15" x14ac:dyDescent="0.25">
      <c r="A49" s="403">
        <v>2047</v>
      </c>
      <c r="B49" s="675">
        <f t="shared" si="6"/>
        <v>6.1881851213704708E-2</v>
      </c>
      <c r="C49" s="676">
        <f>'7&amp;8 Sleep'!$N116+'7&amp;8 Sleep'!$AA116</f>
        <v>0.35071187725036523</v>
      </c>
      <c r="D49" s="676">
        <f>'7&amp;8 Sleep'!$N168+'7&amp;8 Sleep'!$AA168</f>
        <v>0.34401130831456661</v>
      </c>
      <c r="E49" s="676">
        <f>'7&amp;8 Sleep'!$N220+'7&amp;8 Sleep'!$AA220</f>
        <v>5.5789819841753505E-2</v>
      </c>
      <c r="F49" s="676">
        <f>'7&amp;8 Sleep'!$N273+'7&amp;8 Sleep'!$AA273</f>
        <v>0.18760514337961001</v>
      </c>
      <c r="G49" s="677">
        <f>'7&amp;8 Sleep'!$N326+'7&amp;8 Sleep'!$AA326</f>
        <v>0</v>
      </c>
      <c r="H49" s="658">
        <f t="shared" si="7"/>
        <v>0.22927840818673795</v>
      </c>
      <c r="I49" s="658">
        <f>'7&amp;8 Day'!$N116+'7&amp;8 Day'!$AA116</f>
        <v>0.28248771317040278</v>
      </c>
      <c r="J49" s="658">
        <f>'7&amp;8 Day'!$N168+'7&amp;8 Day'!$AA168</f>
        <v>0.26493617342294107</v>
      </c>
      <c r="K49" s="658">
        <f>'7&amp;8 Day'!$N220+'7&amp;8 Day'!$AA220</f>
        <v>5.5586292784081705E-2</v>
      </c>
      <c r="L49" s="658">
        <f>'7&amp;8 Day'!$N273+'7&amp;8 Day'!$AA273</f>
        <v>0.16771141243583654</v>
      </c>
      <c r="M49" s="658">
        <f>'7&amp;8 Day'!$N326+'7&amp;8 Day'!$AA326</f>
        <v>0</v>
      </c>
      <c r="N49" s="675">
        <f t="shared" si="8"/>
        <v>9.6877514097593043E-5</v>
      </c>
      <c r="O49" s="676">
        <f>'7&amp;8 SU'!$N116+'7&amp;8 SU'!$AA116</f>
        <v>0.41669120648044822</v>
      </c>
      <c r="P49" s="676">
        <f>'7&amp;8 SU'!$N168+'7&amp;8 SU'!$AA168</f>
        <v>0.43842279195083472</v>
      </c>
      <c r="Q49" s="676">
        <f>'7&amp;8 SU'!$N220+'7&amp;8 SU'!$AA220</f>
        <v>5.8811278505042246E-2</v>
      </c>
      <c r="R49" s="676">
        <f>'7&amp;8 SU'!$N273+'7&amp;8 SU'!$AA273</f>
        <v>8.5977845549577214E-2</v>
      </c>
      <c r="S49" s="677">
        <f>'7&amp;8 SU'!$N326+'7&amp;8 SU'!$AA326</f>
        <v>0</v>
      </c>
      <c r="T49" s="662">
        <f>B49*'Market Data'!$C$52+H49*'Market Data'!$M$52+N49*'Market Data'!$W$52</f>
        <v>8.816185710379329E-2</v>
      </c>
      <c r="U49" s="425">
        <f>SUM(C49:G49)*'Market Data'!$C$52+SUM(I49:M49)*'Market Data'!$M$52+SUM(O49:S49)*'Market Data'!$W$52</f>
        <v>0.91183814289620668</v>
      </c>
    </row>
    <row r="50" spans="1:21" ht="15" x14ac:dyDescent="0.25">
      <c r="A50" s="403">
        <v>2048</v>
      </c>
      <c r="B50" s="675">
        <f t="shared" si="6"/>
        <v>6.2141959333690711E-2</v>
      </c>
      <c r="C50" s="676">
        <f>'7&amp;8 Sleep'!$N117+'7&amp;8 Sleep'!$AA117</f>
        <v>0.3273984640412409</v>
      </c>
      <c r="D50" s="676">
        <f>'7&amp;8 Sleep'!$N169+'7&amp;8 Sleep'!$AA169</f>
        <v>0.32206458619779421</v>
      </c>
      <c r="E50" s="676">
        <f>'7&amp;8 Sleep'!$N221+'7&amp;8 Sleep'!$AA221</f>
        <v>8.0035046772969312E-2</v>
      </c>
      <c r="F50" s="676">
        <f>'7&amp;8 Sleep'!$N274+'7&amp;8 Sleep'!$AA274</f>
        <v>0.20835994365430482</v>
      </c>
      <c r="G50" s="677">
        <f>'7&amp;8 Sleep'!$N327+'7&amp;8 Sleep'!$AA327</f>
        <v>0</v>
      </c>
      <c r="H50" s="658">
        <f t="shared" si="7"/>
        <v>0.22907109825535577</v>
      </c>
      <c r="I50" s="658">
        <f>'7&amp;8 Day'!$N117+'7&amp;8 Day'!$AA117</f>
        <v>0.26811457318181925</v>
      </c>
      <c r="J50" s="658">
        <f>'7&amp;8 Day'!$N169+'7&amp;8 Day'!$AA169</f>
        <v>0.25503872559522317</v>
      </c>
      <c r="K50" s="658">
        <f>'7&amp;8 Day'!$N221+'7&amp;8 Day'!$AA221</f>
        <v>6.9173385406955556E-2</v>
      </c>
      <c r="L50" s="658">
        <f>'7&amp;8 Day'!$N274+'7&amp;8 Day'!$AA274</f>
        <v>0.1786022175606462</v>
      </c>
      <c r="M50" s="658">
        <f>'7&amp;8 Day'!$N327+'7&amp;8 Day'!$AA327</f>
        <v>0</v>
      </c>
      <c r="N50" s="675">
        <f t="shared" si="8"/>
        <v>1.3884039991696184E-5</v>
      </c>
      <c r="O50" s="676">
        <f>'7&amp;8 SU'!$N117+'7&amp;8 SU'!$AA117</f>
        <v>0.4021693962066506</v>
      </c>
      <c r="P50" s="676">
        <f>'7&amp;8 SU'!$N169+'7&amp;8 SU'!$AA169</f>
        <v>0.41525299197402687</v>
      </c>
      <c r="Q50" s="676">
        <f>'7&amp;8 SU'!$N221+'7&amp;8 SU'!$AA221</f>
        <v>8.4796516752828774E-2</v>
      </c>
      <c r="R50" s="676">
        <f>'7&amp;8 SU'!$N274+'7&amp;8 SU'!$AA274</f>
        <v>9.7767211026502043E-2</v>
      </c>
      <c r="S50" s="677">
        <f>'7&amp;8 SU'!$N327+'7&amp;8 SU'!$AA327</f>
        <v>0</v>
      </c>
      <c r="T50" s="662">
        <f>B50*'Market Data'!$C$52+H50*'Market Data'!$M$52+N50*'Market Data'!$W$52</f>
        <v>8.8210459294701102E-2</v>
      </c>
      <c r="U50" s="425">
        <f>SUM(C50:G50)*'Market Data'!$C$52+SUM(I50:M50)*'Market Data'!$M$52+SUM(O50:S50)*'Market Data'!$W$52</f>
        <v>0.91178954070529894</v>
      </c>
    </row>
    <row r="51" spans="1:21" ht="15" x14ac:dyDescent="0.25">
      <c r="A51" s="403">
        <v>2049</v>
      </c>
      <c r="B51" s="675">
        <f t="shared" si="6"/>
        <v>6.1621432625680539E-2</v>
      </c>
      <c r="C51" s="676">
        <f>'7&amp;8 Sleep'!$N118+'7&amp;8 Sleep'!$AA118</f>
        <v>0.31263412232815607</v>
      </c>
      <c r="D51" s="676">
        <f>'7&amp;8 Sleep'!$N170+'7&amp;8 Sleep'!$AA170</f>
        <v>0.30767131294541772</v>
      </c>
      <c r="E51" s="676">
        <f>'7&amp;8 Sleep'!$N222+'7&amp;8 Sleep'!$AA222</f>
        <v>9.7717701239769333E-2</v>
      </c>
      <c r="F51" s="676">
        <f>'7&amp;8 Sleep'!$N275+'7&amp;8 Sleep'!$AA275</f>
        <v>0.22035543086097636</v>
      </c>
      <c r="G51" s="677">
        <f>'7&amp;8 Sleep'!$N328+'7&amp;8 Sleep'!$AA328</f>
        <v>0</v>
      </c>
      <c r="H51" s="658">
        <f t="shared" si="7"/>
        <v>0.22406514872143912</v>
      </c>
      <c r="I51" s="658">
        <f>'7&amp;8 Day'!$N118+'7&amp;8 Day'!$AA118</f>
        <v>0.26165143965807558</v>
      </c>
      <c r="J51" s="658">
        <f>'7&amp;8 Day'!$N170+'7&amp;8 Day'!$AA170</f>
        <v>0.24907032893115336</v>
      </c>
      <c r="K51" s="658">
        <f>'7&amp;8 Day'!$N222+'7&amp;8 Day'!$AA222</f>
        <v>7.8721908074815133E-2</v>
      </c>
      <c r="L51" s="658">
        <f>'7&amp;8 Day'!$N275+'7&amp;8 Day'!$AA275</f>
        <v>0.18649117461451686</v>
      </c>
      <c r="M51" s="658">
        <f>'7&amp;8 Day'!$N328+'7&amp;8 Day'!$AA328</f>
        <v>0</v>
      </c>
      <c r="N51" s="675">
        <f t="shared" si="8"/>
        <v>8.7201246871115856E-6</v>
      </c>
      <c r="O51" s="676">
        <f>'7&amp;8 SU'!$N118+'7&amp;8 SU'!$AA118</f>
        <v>0.39046050040524416</v>
      </c>
      <c r="P51" s="676">
        <f>'7&amp;8 SU'!$N170+'7&amp;8 SU'!$AA170</f>
        <v>0.39917126643951389</v>
      </c>
      <c r="Q51" s="676">
        <f>'7&amp;8 SU'!$N222+'7&amp;8 SU'!$AA222</f>
        <v>0.10292046236675091</v>
      </c>
      <c r="R51" s="676">
        <f>'7&amp;8 SU'!$N275+'7&amp;8 SU'!$AA275</f>
        <v>0.10743905066380385</v>
      </c>
      <c r="S51" s="677">
        <f>'7&amp;8 SU'!$N328+'7&amp;8 SU'!$AA328</f>
        <v>0</v>
      </c>
      <c r="T51" s="662">
        <f>B51*'Market Data'!$C$52+H51*'Market Data'!$M$52+N51*'Market Data'!$W$52</f>
        <v>8.6680324441639908E-2</v>
      </c>
      <c r="U51" s="425">
        <f>SUM(C51:G51)*'Market Data'!$C$52+SUM(I51:M51)*'Market Data'!$M$52+SUM(O51:S51)*'Market Data'!$W$52</f>
        <v>0.91331967555836002</v>
      </c>
    </row>
    <row r="52" spans="1:21" ht="15.75" thickBot="1" x14ac:dyDescent="0.3">
      <c r="A52" s="404">
        <v>2050</v>
      </c>
      <c r="B52" s="686">
        <f t="shared" si="6"/>
        <v>6.1910326207737176E-2</v>
      </c>
      <c r="C52" s="687">
        <f>'7&amp;8 Sleep'!$N119+'7&amp;8 Sleep'!$AA119</f>
        <v>0.29524158226768515</v>
      </c>
      <c r="D52" s="687">
        <f>'7&amp;8 Sleep'!$N171+'7&amp;8 Sleep'!$AA171</f>
        <v>0.29078228314464855</v>
      </c>
      <c r="E52" s="687">
        <f>'7&amp;8 Sleep'!$N223+'7&amp;8 Sleep'!$AA223</f>
        <v>0.12189219004204893</v>
      </c>
      <c r="F52" s="687">
        <f>'7&amp;8 Sleep'!$N276+'7&amp;8 Sleep'!$AA276</f>
        <v>0.23017361833788019</v>
      </c>
      <c r="G52" s="688">
        <f>'7&amp;8 Sleep'!$N329+'7&amp;8 Sleep'!$AA329</f>
        <v>0</v>
      </c>
      <c r="H52" s="661">
        <f t="shared" si="7"/>
        <v>0.22098723425239275</v>
      </c>
      <c r="I52" s="661">
        <f>'7&amp;8 Day'!$N119+'7&amp;8 Day'!$AA119</f>
        <v>0.25101138096769227</v>
      </c>
      <c r="J52" s="661">
        <f>'7&amp;8 Day'!$N171+'7&amp;8 Day'!$AA171</f>
        <v>0.24060751770115368</v>
      </c>
      <c r="K52" s="661">
        <f>'7&amp;8 Day'!$N223+'7&amp;8 Day'!$AA223</f>
        <v>9.0125775475468434E-2</v>
      </c>
      <c r="L52" s="661">
        <f>'7&amp;8 Day'!$N276+'7&amp;8 Day'!$AA276</f>
        <v>0.19726809160329281</v>
      </c>
      <c r="M52" s="661">
        <f>'7&amp;8 Day'!$N329+'7&amp;8 Day'!$AA329</f>
        <v>0</v>
      </c>
      <c r="N52" s="686">
        <f t="shared" si="8"/>
        <v>3.8699220955562552E-6</v>
      </c>
      <c r="O52" s="687">
        <f>'7&amp;8 SU'!$N119+'7&amp;8 SU'!$AA119</f>
        <v>0.364471186277046</v>
      </c>
      <c r="P52" s="687">
        <f>'7&amp;8 SU'!$N171+'7&amp;8 SU'!$AA171</f>
        <v>0.36841582108841292</v>
      </c>
      <c r="Q52" s="687">
        <f>'7&amp;8 SU'!$N223+'7&amp;8 SU'!$AA223</f>
        <v>0.14538805840691676</v>
      </c>
      <c r="R52" s="687">
        <f>'7&amp;8 SU'!$N276+'7&amp;8 SU'!$AA276</f>
        <v>0.12172106430552873</v>
      </c>
      <c r="S52" s="688">
        <f>'7&amp;8 SU'!$N329+'7&amp;8 SU'!$AA329</f>
        <v>0</v>
      </c>
      <c r="T52" s="665">
        <f>B52*'Market Data'!$C$52+H52*'Market Data'!$M$52+N52*'Market Data'!$W$52</f>
        <v>8.6029081206837832E-2</v>
      </c>
      <c r="U52" s="437">
        <f>SUM(C52:G52)*'Market Data'!$C$52+SUM(I52:M52)*'Market Data'!$M$52+SUM(O52:S52)*'Market Data'!$W$52</f>
        <v>0.91397091879316217</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18:37</v>
      </c>
    </row>
    <row r="57" spans="1:21" x14ac:dyDescent="0.2">
      <c r="A57" s="473" t="str">
        <f>"Combination, Non-Centrally Refueled: " &amp;TEXT(RtimeCls1NCent1,"mm/dd/yyyy hh:mm")</f>
        <v>Combination, Non-Centrally Refueled: 08/27/2020 18:37</v>
      </c>
    </row>
    <row r="58" spans="1:21" x14ac:dyDescent="0.2">
      <c r="A58" s="473" t="str">
        <f>"Single Unit, Centrally Refueled: " &amp;TEXT(RtimeCls2Cent1,"mm/dd/yyyy hh:mm")</f>
        <v>Single Unit, Centrally Refueled: 08/27/2020 18:37</v>
      </c>
    </row>
    <row r="59" spans="1:21" x14ac:dyDescent="0.2">
      <c r="A59" s="473" t="str">
        <f>"Single Unit, Non-Centrally Refueled: " &amp;TEXT(RtimeCls2NCent1,"mm/dd/yyyy hh:mm")</f>
        <v>Single Unit, Non-Centrally Refueled: 08/27/2020 18:37</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10"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defaultColWidth="9.140625" defaultRowHeight="12.75" x14ac:dyDescent="0.2"/>
  <cols>
    <col min="1" max="1" width="9.140625" style="397"/>
    <col min="2" max="2" width="14.28515625" style="397" customWidth="1"/>
    <col min="3" max="7" width="10.42578125" style="397" customWidth="1"/>
    <col min="8" max="8" width="13.42578125" style="397" customWidth="1"/>
    <col min="9" max="14" width="10.42578125" style="397" customWidth="1"/>
    <col min="15" max="15" width="11.28515625" style="397" bestFit="1" customWidth="1"/>
    <col min="16" max="16384" width="9.140625" style="397"/>
  </cols>
  <sheetData>
    <row r="1" spans="1:24" x14ac:dyDescent="0.2">
      <c r="A1" s="861" t="s">
        <v>261</v>
      </c>
    </row>
    <row r="2" spans="1:24" ht="13.5" thickBot="1" x14ac:dyDescent="0.25"/>
    <row r="3" spans="1:24" ht="19.5" thickBot="1" x14ac:dyDescent="0.35">
      <c r="A3" s="1573" t="s">
        <v>151</v>
      </c>
      <c r="B3" s="1574"/>
      <c r="C3" s="1574"/>
      <c r="D3" s="1574"/>
      <c r="E3" s="1574"/>
      <c r="F3" s="1574"/>
      <c r="G3" s="1574"/>
      <c r="H3" s="1574"/>
      <c r="I3" s="1574"/>
      <c r="J3" s="1574"/>
      <c r="K3" s="1574"/>
      <c r="L3" s="1574"/>
      <c r="M3" s="1574"/>
      <c r="N3" s="1574"/>
      <c r="O3" s="1574"/>
      <c r="P3" s="1574"/>
      <c r="Q3" s="1574"/>
      <c r="R3" s="1574"/>
      <c r="S3" s="1574"/>
      <c r="T3" s="1574"/>
      <c r="U3" s="1575"/>
    </row>
    <row r="4" spans="1:24" ht="15" x14ac:dyDescent="0.25">
      <c r="A4" s="400"/>
      <c r="B4" s="1571" t="s">
        <v>249</v>
      </c>
      <c r="C4" s="1582"/>
      <c r="D4" s="1582"/>
      <c r="E4" s="1582"/>
      <c r="F4" s="1582"/>
      <c r="G4" s="1572"/>
      <c r="H4" s="1571" t="s">
        <v>250</v>
      </c>
      <c r="I4" s="1582"/>
      <c r="J4" s="1582"/>
      <c r="K4" s="1582"/>
      <c r="L4" s="1582"/>
      <c r="M4" s="1572"/>
      <c r="N4" s="1571" t="s">
        <v>154</v>
      </c>
      <c r="O4" s="1582"/>
      <c r="P4" s="1582"/>
      <c r="Q4" s="1582"/>
      <c r="R4" s="1582"/>
      <c r="S4" s="1572"/>
      <c r="T4" s="1594" t="s">
        <v>153</v>
      </c>
      <c r="U4" s="1593"/>
    </row>
    <row r="5" spans="1:24" ht="15" x14ac:dyDescent="0.25">
      <c r="A5" s="401"/>
      <c r="B5" s="1579" t="s">
        <v>129</v>
      </c>
      <c r="C5" s="1580"/>
      <c r="D5" s="1580"/>
      <c r="E5" s="1580"/>
      <c r="F5" s="1580"/>
      <c r="G5" s="1581"/>
      <c r="H5" s="1579" t="s">
        <v>129</v>
      </c>
      <c r="I5" s="1580"/>
      <c r="J5" s="1580"/>
      <c r="K5" s="1580"/>
      <c r="L5" s="1580"/>
      <c r="M5" s="1581"/>
      <c r="N5" s="1579" t="s">
        <v>129</v>
      </c>
      <c r="O5" s="1580"/>
      <c r="P5" s="1580"/>
      <c r="Q5" s="1580"/>
      <c r="R5" s="1580"/>
      <c r="S5" s="1581"/>
      <c r="T5" s="1569" t="s">
        <v>129</v>
      </c>
      <c r="U5" s="1570"/>
    </row>
    <row r="6" spans="1:24" ht="15" x14ac:dyDescent="0.25">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row>
    <row r="7" spans="1:24" ht="45" x14ac:dyDescent="0.25">
      <c r="A7" s="401"/>
      <c r="B7" s="1110" t="str">
        <f t="shared" ref="B7:G7" si="0">INDEX(TECH_OPT_DESC_Cls1,MATCH(B6,TECH_OPT_ROWS_Cls1,0))</f>
        <v>Conventional Diesel ICE</v>
      </c>
      <c r="C7" s="1111" t="str">
        <f t="shared" si="0"/>
        <v>Adv Conv</v>
      </c>
      <c r="D7" s="1111" t="str">
        <f t="shared" si="0"/>
        <v>HEV</v>
      </c>
      <c r="E7" s="1111" t="str">
        <f t="shared" si="0"/>
        <v>BEV</v>
      </c>
      <c r="F7" s="1111" t="str">
        <f t="shared" si="0"/>
        <v>FCEV</v>
      </c>
      <c r="G7" s="1112">
        <f t="shared" si="0"/>
        <v>0</v>
      </c>
      <c r="H7" s="1110" t="str">
        <f t="shared" ref="H7:M7" si="1">INDEX(TECH_OPT_DESC_Cls2,MATCH(H6,TECH_OPT_ROWS_Cls2,0))</f>
        <v>Conventional Diesel ICE</v>
      </c>
      <c r="I7" s="1111" t="str">
        <f t="shared" si="1"/>
        <v>Adv Conv</v>
      </c>
      <c r="J7" s="1111" t="str">
        <f t="shared" si="1"/>
        <v>HEV</v>
      </c>
      <c r="K7" s="1111" t="str">
        <f t="shared" si="1"/>
        <v>BEV</v>
      </c>
      <c r="L7" s="1111" t="str">
        <f t="shared" si="1"/>
        <v>FCEV</v>
      </c>
      <c r="M7" s="1112">
        <f t="shared" si="1"/>
        <v>0</v>
      </c>
      <c r="N7" s="1110" t="str">
        <f t="shared" ref="N7:S7" si="2">INDEX(TECH_OPT_DESC_Cls3,MATCH(N6,TECH_OPT_ROWS_Cls3,0))</f>
        <v>Conventional Diesel ICE</v>
      </c>
      <c r="O7" s="1111" t="str">
        <f t="shared" si="2"/>
        <v>Adv Conv</v>
      </c>
      <c r="P7" s="1111" t="str">
        <f t="shared" si="2"/>
        <v>HEV</v>
      </c>
      <c r="Q7" s="1111" t="str">
        <f t="shared" si="2"/>
        <v>BEV</v>
      </c>
      <c r="R7" s="1111" t="str">
        <f t="shared" si="2"/>
        <v>FCEV</v>
      </c>
      <c r="S7" s="1112">
        <f t="shared" si="2"/>
        <v>0</v>
      </c>
      <c r="T7" s="671" t="s">
        <v>69</v>
      </c>
      <c r="U7" s="417" t="s">
        <v>138</v>
      </c>
    </row>
    <row r="8" spans="1:24" ht="30.75" thickBot="1" x14ac:dyDescent="0.3">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6"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419"/>
      <c r="U8" s="418"/>
    </row>
    <row r="9" spans="1:24" ht="15.75" thickTop="1" x14ac:dyDescent="0.25">
      <c r="A9" s="403">
        <v>2007</v>
      </c>
      <c r="B9" s="420">
        <f>'Market Data'!$E$52*'Mkt Pen Veh-Mi'!B9</f>
        <v>0.66842924773992651</v>
      </c>
      <c r="C9" s="421">
        <f>'Market Data'!$E$52*'Mkt Pen Veh-Mi'!C9</f>
        <v>0</v>
      </c>
      <c r="D9" s="421">
        <f>'Market Data'!$E$52*'Mkt Pen Veh-Mi'!D9</f>
        <v>0</v>
      </c>
      <c r="E9" s="699">
        <f>'Market Data'!$E$52*'Mkt Pen Veh-Mi'!E9</f>
        <v>0</v>
      </c>
      <c r="F9" s="699">
        <f>'Market Data'!$E$52*'Mkt Pen Veh-Mi'!F9</f>
        <v>0</v>
      </c>
      <c r="G9" s="704">
        <f>'Market Data'!$E$52*'Mkt Pen Veh-Mi'!G9</f>
        <v>0</v>
      </c>
      <c r="H9" s="420">
        <f>'Market Data'!$O$52*'Mkt Pen Veh-Mi'!H9</f>
        <v>0.24189234497249509</v>
      </c>
      <c r="I9" s="421">
        <f>'Market Data'!$O$52*'Mkt Pen Veh-Mi'!I9</f>
        <v>0</v>
      </c>
      <c r="J9" s="421">
        <f>'Market Data'!$O$52*'Mkt Pen Veh-Mi'!J9</f>
        <v>0</v>
      </c>
      <c r="K9" s="699">
        <f>'Market Data'!$O$52*'Mkt Pen Veh-Mi'!K9</f>
        <v>0</v>
      </c>
      <c r="L9" s="699">
        <f>'Market Data'!$O$52*'Mkt Pen Veh-Mi'!L9</f>
        <v>0</v>
      </c>
      <c r="M9" s="704">
        <f>'Market Data'!$O$52*'Mkt Pen Veh-Mi'!M9</f>
        <v>0</v>
      </c>
      <c r="N9" s="420">
        <f>'Market Data'!$Y$52*'Mkt Pen Veh-Mi'!N9</f>
        <v>8.967840728757831E-2</v>
      </c>
      <c r="O9" s="421">
        <f>'Market Data'!$Y$52*'Mkt Pen Veh-Mi'!O9</f>
        <v>0</v>
      </c>
      <c r="P9" s="421">
        <f>'Market Data'!$Y$52*'Mkt Pen Veh-Mi'!P9</f>
        <v>0</v>
      </c>
      <c r="Q9" s="699">
        <f>'Market Data'!$Y$52*'Mkt Pen Veh-Mi'!Q9</f>
        <v>0</v>
      </c>
      <c r="R9" s="699">
        <f>'Market Data'!$Y$52*'Mkt Pen Veh-Mi'!R9</f>
        <v>0</v>
      </c>
      <c r="S9" s="704">
        <f>'Market Data'!$Y$52*'Mkt Pen Veh-Mi'!S9</f>
        <v>0</v>
      </c>
      <c r="T9" s="420">
        <f>B9+N9+H9</f>
        <v>0.99999999999999989</v>
      </c>
      <c r="U9" s="422">
        <f>SUM(C9:G9)+SUM(O9:S9)</f>
        <v>0</v>
      </c>
      <c r="X9" s="117"/>
    </row>
    <row r="10" spans="1:24" ht="15" x14ac:dyDescent="0.25">
      <c r="A10" s="403">
        <v>2008</v>
      </c>
      <c r="B10" s="423">
        <f>'Market Data'!$E$52*'Mkt Pen Veh-Mi'!B10</f>
        <v>0.66842924773992651</v>
      </c>
      <c r="C10" s="424">
        <f>'Market Data'!$E$52*'Mkt Pen Veh-Mi'!C10</f>
        <v>0</v>
      </c>
      <c r="D10" s="424">
        <f>'Market Data'!$E$52*'Mkt Pen Veh-Mi'!D10</f>
        <v>0</v>
      </c>
      <c r="E10" s="700">
        <f>'Market Data'!$E$52*'Mkt Pen Veh-Mi'!E10</f>
        <v>0</v>
      </c>
      <c r="F10" s="700">
        <f>'Market Data'!$E$52*'Mkt Pen Veh-Mi'!F10</f>
        <v>0</v>
      </c>
      <c r="G10" s="705">
        <f>'Market Data'!$E$52*'Mkt Pen Veh-Mi'!G10</f>
        <v>0</v>
      </c>
      <c r="H10" s="423">
        <f>'Market Data'!$O$52*'Mkt Pen Veh-Mi'!H10</f>
        <v>0.24189234497249509</v>
      </c>
      <c r="I10" s="424">
        <f>'Market Data'!$O$52*'Mkt Pen Veh-Mi'!I10</f>
        <v>0</v>
      </c>
      <c r="J10" s="424">
        <f>'Market Data'!$O$52*'Mkt Pen Veh-Mi'!J10</f>
        <v>0</v>
      </c>
      <c r="K10" s="700">
        <f>'Market Data'!$O$52*'Mkt Pen Veh-Mi'!K10</f>
        <v>0</v>
      </c>
      <c r="L10" s="700">
        <f>'Market Data'!$O$52*'Mkt Pen Veh-Mi'!L10</f>
        <v>0</v>
      </c>
      <c r="M10" s="705">
        <f>'Market Data'!$O$52*'Mkt Pen Veh-Mi'!M10</f>
        <v>0</v>
      </c>
      <c r="N10" s="423">
        <f>'Market Data'!$Y$52*'Mkt Pen Veh-Mi'!N10</f>
        <v>8.967840728757831E-2</v>
      </c>
      <c r="O10" s="424">
        <f>'Market Data'!$Y$52*'Mkt Pen Veh-Mi'!O10</f>
        <v>0</v>
      </c>
      <c r="P10" s="424">
        <f>'Market Data'!$Y$52*'Mkt Pen Veh-Mi'!P10</f>
        <v>0</v>
      </c>
      <c r="Q10" s="700">
        <f>'Market Data'!$Y$52*'Mkt Pen Veh-Mi'!Q10</f>
        <v>0</v>
      </c>
      <c r="R10" s="700">
        <f>'Market Data'!$Y$52*'Mkt Pen Veh-Mi'!R10</f>
        <v>0</v>
      </c>
      <c r="S10" s="705">
        <f>'Market Data'!$Y$52*'Mkt Pen Veh-Mi'!S10</f>
        <v>0</v>
      </c>
      <c r="T10" s="423">
        <f t="shared" ref="T10:T52" si="6">B10+N10+H10</f>
        <v>0.99999999999999989</v>
      </c>
      <c r="U10" s="425">
        <f t="shared" ref="U10:U17" si="7">SUM(C10:G10)+SUM(O10:S10)</f>
        <v>0</v>
      </c>
      <c r="X10" s="117"/>
    </row>
    <row r="11" spans="1:24" ht="15" x14ac:dyDescent="0.25">
      <c r="A11" s="403">
        <v>2009</v>
      </c>
      <c r="B11" s="423">
        <f>'Market Data'!$E$52*'Mkt Pen Veh-Mi'!B11</f>
        <v>0.66842924773992651</v>
      </c>
      <c r="C11" s="424">
        <f>'Market Data'!$E$52*'Mkt Pen Veh-Mi'!C11</f>
        <v>0</v>
      </c>
      <c r="D11" s="424">
        <f>'Market Data'!$E$52*'Mkt Pen Veh-Mi'!D11</f>
        <v>0</v>
      </c>
      <c r="E11" s="700">
        <f>'Market Data'!$E$52*'Mkt Pen Veh-Mi'!E11</f>
        <v>0</v>
      </c>
      <c r="F11" s="700">
        <f>'Market Data'!$E$52*'Mkt Pen Veh-Mi'!F11</f>
        <v>0</v>
      </c>
      <c r="G11" s="705">
        <f>'Market Data'!$E$52*'Mkt Pen Veh-Mi'!G11</f>
        <v>0</v>
      </c>
      <c r="H11" s="423">
        <f>'Market Data'!$O$52*'Mkt Pen Veh-Mi'!H11</f>
        <v>0.24189234497249509</v>
      </c>
      <c r="I11" s="424">
        <f>'Market Data'!$O$52*'Mkt Pen Veh-Mi'!I11</f>
        <v>0</v>
      </c>
      <c r="J11" s="424">
        <f>'Market Data'!$O$52*'Mkt Pen Veh-Mi'!J11</f>
        <v>0</v>
      </c>
      <c r="K11" s="700">
        <f>'Market Data'!$O$52*'Mkt Pen Veh-Mi'!K11</f>
        <v>0</v>
      </c>
      <c r="L11" s="700">
        <f>'Market Data'!$O$52*'Mkt Pen Veh-Mi'!L11</f>
        <v>0</v>
      </c>
      <c r="M11" s="705">
        <f>'Market Data'!$O$52*'Mkt Pen Veh-Mi'!M11</f>
        <v>0</v>
      </c>
      <c r="N11" s="423">
        <f>'Market Data'!$Y$52*'Mkt Pen Veh-Mi'!N11</f>
        <v>8.967840728757831E-2</v>
      </c>
      <c r="O11" s="424">
        <f>'Market Data'!$Y$52*'Mkt Pen Veh-Mi'!O11</f>
        <v>0</v>
      </c>
      <c r="P11" s="424">
        <f>'Market Data'!$Y$52*'Mkt Pen Veh-Mi'!P11</f>
        <v>0</v>
      </c>
      <c r="Q11" s="700">
        <f>'Market Data'!$Y$52*'Mkt Pen Veh-Mi'!Q11</f>
        <v>0</v>
      </c>
      <c r="R11" s="700">
        <f>'Market Data'!$Y$52*'Mkt Pen Veh-Mi'!R11</f>
        <v>0</v>
      </c>
      <c r="S11" s="705">
        <f>'Market Data'!$Y$52*'Mkt Pen Veh-Mi'!S11</f>
        <v>0</v>
      </c>
      <c r="T11" s="423">
        <f t="shared" si="6"/>
        <v>0.99999999999999989</v>
      </c>
      <c r="U11" s="425">
        <f t="shared" si="7"/>
        <v>0</v>
      </c>
      <c r="X11" s="117"/>
    </row>
    <row r="12" spans="1:24" ht="15" x14ac:dyDescent="0.25">
      <c r="A12" s="403">
        <v>2010</v>
      </c>
      <c r="B12" s="426">
        <f>'Market Data'!$E$52*'Mkt Pen Veh-Mi'!B12</f>
        <v>0.66842924773992651</v>
      </c>
      <c r="C12" s="427">
        <f>'Market Data'!$E$52*'Mkt Pen Veh-Mi'!C12</f>
        <v>0</v>
      </c>
      <c r="D12" s="427">
        <f>'Market Data'!$E$52*'Mkt Pen Veh-Mi'!D12</f>
        <v>0</v>
      </c>
      <c r="E12" s="701">
        <f>'Market Data'!$E$52*'Mkt Pen Veh-Mi'!E12</f>
        <v>0</v>
      </c>
      <c r="F12" s="701">
        <f>'Market Data'!$E$52*'Mkt Pen Veh-Mi'!F12</f>
        <v>0</v>
      </c>
      <c r="G12" s="706">
        <f>'Market Data'!$E$52*'Mkt Pen Veh-Mi'!G12</f>
        <v>0</v>
      </c>
      <c r="H12" s="426">
        <f>'Market Data'!$O$52*'Mkt Pen Veh-Mi'!H12</f>
        <v>0.24189234497249509</v>
      </c>
      <c r="I12" s="427">
        <f>'Market Data'!$O$52*'Mkt Pen Veh-Mi'!I12</f>
        <v>0</v>
      </c>
      <c r="J12" s="427">
        <f>'Market Data'!$O$52*'Mkt Pen Veh-Mi'!J12</f>
        <v>0</v>
      </c>
      <c r="K12" s="701">
        <f>'Market Data'!$O$52*'Mkt Pen Veh-Mi'!K12</f>
        <v>0</v>
      </c>
      <c r="L12" s="701">
        <f>'Market Data'!$O$52*'Mkt Pen Veh-Mi'!L12</f>
        <v>0</v>
      </c>
      <c r="M12" s="706">
        <f>'Market Data'!$O$52*'Mkt Pen Veh-Mi'!M12</f>
        <v>0</v>
      </c>
      <c r="N12" s="426">
        <f>'Market Data'!$Y$52*'Mkt Pen Veh-Mi'!N12</f>
        <v>8.967840728757831E-2</v>
      </c>
      <c r="O12" s="427">
        <f>'Market Data'!$Y$52*'Mkt Pen Veh-Mi'!O12</f>
        <v>0</v>
      </c>
      <c r="P12" s="427">
        <f>'Market Data'!$Y$52*'Mkt Pen Veh-Mi'!P12</f>
        <v>0</v>
      </c>
      <c r="Q12" s="701">
        <f>'Market Data'!$Y$52*'Mkt Pen Veh-Mi'!Q12</f>
        <v>0</v>
      </c>
      <c r="R12" s="701">
        <f>'Market Data'!$Y$52*'Mkt Pen Veh-Mi'!R12</f>
        <v>0</v>
      </c>
      <c r="S12" s="706">
        <f>'Market Data'!$Y$52*'Mkt Pen Veh-Mi'!S12</f>
        <v>0</v>
      </c>
      <c r="T12" s="426">
        <f t="shared" si="6"/>
        <v>0.99999999999999989</v>
      </c>
      <c r="U12" s="428">
        <f t="shared" si="7"/>
        <v>0</v>
      </c>
      <c r="X12" s="117"/>
    </row>
    <row r="13" spans="1:24" ht="15" x14ac:dyDescent="0.25">
      <c r="A13" s="429">
        <v>2011</v>
      </c>
      <c r="B13" s="430">
        <f>'Market Data'!$E$52*'Mkt Pen Veh-Mi'!B13</f>
        <v>0.66842924773992651</v>
      </c>
      <c r="C13" s="431">
        <f>'Market Data'!$E$52*'Mkt Pen Veh-Mi'!C13</f>
        <v>0</v>
      </c>
      <c r="D13" s="431">
        <f>'Market Data'!$E$52*'Mkt Pen Veh-Mi'!D13</f>
        <v>0</v>
      </c>
      <c r="E13" s="702">
        <f>'Market Data'!$E$52*'Mkt Pen Veh-Mi'!E13</f>
        <v>0</v>
      </c>
      <c r="F13" s="702">
        <f>'Market Data'!$E$52*'Mkt Pen Veh-Mi'!F13</f>
        <v>0</v>
      </c>
      <c r="G13" s="707">
        <f>'Market Data'!$E$52*'Mkt Pen Veh-Mi'!G13</f>
        <v>0</v>
      </c>
      <c r="H13" s="430">
        <f>'Market Data'!$O$52*'Mkt Pen Veh-Mi'!H13</f>
        <v>0.24189234497249509</v>
      </c>
      <c r="I13" s="431">
        <f>'Market Data'!$O$52*'Mkt Pen Veh-Mi'!I13</f>
        <v>0</v>
      </c>
      <c r="J13" s="431">
        <f>'Market Data'!$O$52*'Mkt Pen Veh-Mi'!J13</f>
        <v>0</v>
      </c>
      <c r="K13" s="702">
        <f>'Market Data'!$O$52*'Mkt Pen Veh-Mi'!K13</f>
        <v>0</v>
      </c>
      <c r="L13" s="702">
        <f>'Market Data'!$O$52*'Mkt Pen Veh-Mi'!L13</f>
        <v>0</v>
      </c>
      <c r="M13" s="707">
        <f>'Market Data'!$O$52*'Mkt Pen Veh-Mi'!M13</f>
        <v>0</v>
      </c>
      <c r="N13" s="430">
        <f>'Market Data'!$Y$52*'Mkt Pen Veh-Mi'!N13</f>
        <v>8.967840728757831E-2</v>
      </c>
      <c r="O13" s="431">
        <f>'Market Data'!$Y$52*'Mkt Pen Veh-Mi'!O13</f>
        <v>0</v>
      </c>
      <c r="P13" s="431">
        <f>'Market Data'!$Y$52*'Mkt Pen Veh-Mi'!P13</f>
        <v>0</v>
      </c>
      <c r="Q13" s="702">
        <f>'Market Data'!$Y$52*'Mkt Pen Veh-Mi'!Q13</f>
        <v>0</v>
      </c>
      <c r="R13" s="702">
        <f>'Market Data'!$Y$52*'Mkt Pen Veh-Mi'!R13</f>
        <v>0</v>
      </c>
      <c r="S13" s="707">
        <f>'Market Data'!$Y$52*'Mkt Pen Veh-Mi'!S13</f>
        <v>0</v>
      </c>
      <c r="T13" s="433">
        <f t="shared" si="6"/>
        <v>0.99999999999999989</v>
      </c>
      <c r="U13" s="434">
        <f t="shared" si="7"/>
        <v>0</v>
      </c>
      <c r="X13" s="117"/>
    </row>
    <row r="14" spans="1:24" ht="15" x14ac:dyDescent="0.25">
      <c r="A14" s="403">
        <v>2012</v>
      </c>
      <c r="B14" s="423">
        <f>'Market Data'!$E$52*'Mkt Pen Veh-Mi'!B14</f>
        <v>0.66842924773992651</v>
      </c>
      <c r="C14" s="424">
        <f>'Market Data'!$E$52*'Mkt Pen Veh-Mi'!C14</f>
        <v>0</v>
      </c>
      <c r="D14" s="424">
        <f>'Market Data'!$E$52*'Mkt Pen Veh-Mi'!D14</f>
        <v>0</v>
      </c>
      <c r="E14" s="700">
        <f>'Market Data'!$E$52*'Mkt Pen Veh-Mi'!E14</f>
        <v>0</v>
      </c>
      <c r="F14" s="700">
        <f>'Market Data'!$E$52*'Mkt Pen Veh-Mi'!F14</f>
        <v>0</v>
      </c>
      <c r="G14" s="705">
        <f>'Market Data'!$E$52*'Mkt Pen Veh-Mi'!G14</f>
        <v>0</v>
      </c>
      <c r="H14" s="423">
        <f>'Market Data'!$O$52*'Mkt Pen Veh-Mi'!H14</f>
        <v>0.24189234497249509</v>
      </c>
      <c r="I14" s="424">
        <f>'Market Data'!$O$52*'Mkt Pen Veh-Mi'!I14</f>
        <v>0</v>
      </c>
      <c r="J14" s="424">
        <f>'Market Data'!$O$52*'Mkt Pen Veh-Mi'!J14</f>
        <v>0</v>
      </c>
      <c r="K14" s="700">
        <f>'Market Data'!$O$52*'Mkt Pen Veh-Mi'!K14</f>
        <v>0</v>
      </c>
      <c r="L14" s="700">
        <f>'Market Data'!$O$52*'Mkt Pen Veh-Mi'!L14</f>
        <v>0</v>
      </c>
      <c r="M14" s="705">
        <f>'Market Data'!$O$52*'Mkt Pen Veh-Mi'!M14</f>
        <v>0</v>
      </c>
      <c r="N14" s="423">
        <f>'Market Data'!$Y$52*'Mkt Pen Veh-Mi'!N14</f>
        <v>8.967840728757831E-2</v>
      </c>
      <c r="O14" s="424">
        <f>'Market Data'!$Y$52*'Mkt Pen Veh-Mi'!O14</f>
        <v>0</v>
      </c>
      <c r="P14" s="424">
        <f>'Market Data'!$Y$52*'Mkt Pen Veh-Mi'!P14</f>
        <v>0</v>
      </c>
      <c r="Q14" s="700">
        <f>'Market Data'!$Y$52*'Mkt Pen Veh-Mi'!Q14</f>
        <v>0</v>
      </c>
      <c r="R14" s="700">
        <f>'Market Data'!$Y$52*'Mkt Pen Veh-Mi'!R14</f>
        <v>0</v>
      </c>
      <c r="S14" s="705">
        <f>'Market Data'!$Y$52*'Mkt Pen Veh-Mi'!S14</f>
        <v>0</v>
      </c>
      <c r="T14" s="423">
        <f t="shared" si="6"/>
        <v>0.99999999999999989</v>
      </c>
      <c r="U14" s="425">
        <f t="shared" si="7"/>
        <v>0</v>
      </c>
      <c r="X14" s="117"/>
    </row>
    <row r="15" spans="1:24" ht="15" x14ac:dyDescent="0.25">
      <c r="A15" s="403">
        <v>2013</v>
      </c>
      <c r="B15" s="423">
        <f>'Market Data'!$E$52*'Mkt Pen Veh-Mi'!B15</f>
        <v>0.66842924773992651</v>
      </c>
      <c r="C15" s="424">
        <f>'Market Data'!$E$52*'Mkt Pen Veh-Mi'!C15</f>
        <v>0</v>
      </c>
      <c r="D15" s="424">
        <f>'Market Data'!$E$52*'Mkt Pen Veh-Mi'!D15</f>
        <v>0</v>
      </c>
      <c r="E15" s="700">
        <f>'Market Data'!$E$52*'Mkt Pen Veh-Mi'!E15</f>
        <v>0</v>
      </c>
      <c r="F15" s="700">
        <f>'Market Data'!$E$52*'Mkt Pen Veh-Mi'!F15</f>
        <v>0</v>
      </c>
      <c r="G15" s="705">
        <f>'Market Data'!$E$52*'Mkt Pen Veh-Mi'!G15</f>
        <v>0</v>
      </c>
      <c r="H15" s="423">
        <f>'Market Data'!$O$52*'Mkt Pen Veh-Mi'!H15</f>
        <v>0.24189234497249509</v>
      </c>
      <c r="I15" s="424">
        <f>'Market Data'!$O$52*'Mkt Pen Veh-Mi'!I15</f>
        <v>0</v>
      </c>
      <c r="J15" s="424">
        <f>'Market Data'!$O$52*'Mkt Pen Veh-Mi'!J15</f>
        <v>0</v>
      </c>
      <c r="K15" s="700">
        <f>'Market Data'!$O$52*'Mkt Pen Veh-Mi'!K15</f>
        <v>0</v>
      </c>
      <c r="L15" s="700">
        <f>'Market Data'!$O$52*'Mkt Pen Veh-Mi'!L15</f>
        <v>0</v>
      </c>
      <c r="M15" s="705">
        <f>'Market Data'!$O$52*'Mkt Pen Veh-Mi'!M15</f>
        <v>0</v>
      </c>
      <c r="N15" s="423">
        <f>'Market Data'!$Y$52*'Mkt Pen Veh-Mi'!N15</f>
        <v>8.967840728757831E-2</v>
      </c>
      <c r="O15" s="424">
        <f>'Market Data'!$Y$52*'Mkt Pen Veh-Mi'!O15</f>
        <v>0</v>
      </c>
      <c r="P15" s="424">
        <f>'Market Data'!$Y$52*'Mkt Pen Veh-Mi'!P15</f>
        <v>0</v>
      </c>
      <c r="Q15" s="700">
        <f>'Market Data'!$Y$52*'Mkt Pen Veh-Mi'!Q15</f>
        <v>0</v>
      </c>
      <c r="R15" s="700">
        <f>'Market Data'!$Y$52*'Mkt Pen Veh-Mi'!R15</f>
        <v>0</v>
      </c>
      <c r="S15" s="705">
        <f>'Market Data'!$Y$52*'Mkt Pen Veh-Mi'!S15</f>
        <v>0</v>
      </c>
      <c r="T15" s="423">
        <f t="shared" si="6"/>
        <v>0.99999999999999989</v>
      </c>
      <c r="U15" s="425">
        <f t="shared" si="7"/>
        <v>0</v>
      </c>
      <c r="X15" s="117"/>
    </row>
    <row r="16" spans="1:24" ht="15" x14ac:dyDescent="0.25">
      <c r="A16" s="403">
        <v>2014</v>
      </c>
      <c r="B16" s="423">
        <f>'Market Data'!$E$52*'Mkt Pen Veh-Mi'!B16</f>
        <v>0.66842924773992651</v>
      </c>
      <c r="C16" s="424">
        <f>'Market Data'!$E$52*'Mkt Pen Veh-Mi'!C16</f>
        <v>0</v>
      </c>
      <c r="D16" s="424">
        <f>'Market Data'!$E$52*'Mkt Pen Veh-Mi'!D16</f>
        <v>0</v>
      </c>
      <c r="E16" s="700">
        <f>'Market Data'!$E$52*'Mkt Pen Veh-Mi'!E16</f>
        <v>0</v>
      </c>
      <c r="F16" s="700">
        <f>'Market Data'!$E$52*'Mkt Pen Veh-Mi'!F16</f>
        <v>0</v>
      </c>
      <c r="G16" s="705">
        <f>'Market Data'!$E$52*'Mkt Pen Veh-Mi'!G16</f>
        <v>0</v>
      </c>
      <c r="H16" s="423">
        <f>'Market Data'!$O$52*'Mkt Pen Veh-Mi'!H16</f>
        <v>0.24189234497249509</v>
      </c>
      <c r="I16" s="424">
        <f>'Market Data'!$O$52*'Mkt Pen Veh-Mi'!I16</f>
        <v>0</v>
      </c>
      <c r="J16" s="424">
        <f>'Market Data'!$O$52*'Mkt Pen Veh-Mi'!J16</f>
        <v>0</v>
      </c>
      <c r="K16" s="700">
        <f>'Market Data'!$O$52*'Mkt Pen Veh-Mi'!K16</f>
        <v>0</v>
      </c>
      <c r="L16" s="700">
        <f>'Market Data'!$O$52*'Mkt Pen Veh-Mi'!L16</f>
        <v>0</v>
      </c>
      <c r="M16" s="705">
        <f>'Market Data'!$O$52*'Mkt Pen Veh-Mi'!M16</f>
        <v>0</v>
      </c>
      <c r="N16" s="423">
        <f>'Market Data'!$Y$52*'Mkt Pen Veh-Mi'!N16</f>
        <v>8.967840728757831E-2</v>
      </c>
      <c r="O16" s="424">
        <f>'Market Data'!$Y$52*'Mkt Pen Veh-Mi'!O16</f>
        <v>0</v>
      </c>
      <c r="P16" s="424">
        <f>'Market Data'!$Y$52*'Mkt Pen Veh-Mi'!P16</f>
        <v>0</v>
      </c>
      <c r="Q16" s="700">
        <f>'Market Data'!$Y$52*'Mkt Pen Veh-Mi'!Q16</f>
        <v>0</v>
      </c>
      <c r="R16" s="700">
        <f>'Market Data'!$Y$52*'Mkt Pen Veh-Mi'!R16</f>
        <v>0</v>
      </c>
      <c r="S16" s="705">
        <f>'Market Data'!$Y$52*'Mkt Pen Veh-Mi'!S16</f>
        <v>0</v>
      </c>
      <c r="T16" s="423">
        <f t="shared" si="6"/>
        <v>0.99999999999999989</v>
      </c>
      <c r="U16" s="425">
        <f t="shared" si="7"/>
        <v>0</v>
      </c>
      <c r="X16" s="117"/>
    </row>
    <row r="17" spans="1:24" ht="15" x14ac:dyDescent="0.25">
      <c r="A17" s="402">
        <v>2015</v>
      </c>
      <c r="B17" s="426">
        <f>'Market Data'!$E$52*'Mkt Pen Veh-Mi'!B17</f>
        <v>0.66842924773992651</v>
      </c>
      <c r="C17" s="427">
        <f>'Market Data'!$E$52*'Mkt Pen Veh-Mi'!C17</f>
        <v>0</v>
      </c>
      <c r="D17" s="427">
        <f>'Market Data'!$E$52*'Mkt Pen Veh-Mi'!D17</f>
        <v>0</v>
      </c>
      <c r="E17" s="701">
        <f>'Market Data'!$E$52*'Mkt Pen Veh-Mi'!E17</f>
        <v>0</v>
      </c>
      <c r="F17" s="701">
        <f>'Market Data'!$E$52*'Mkt Pen Veh-Mi'!F17</f>
        <v>0</v>
      </c>
      <c r="G17" s="706">
        <f>'Market Data'!$E$52*'Mkt Pen Veh-Mi'!G17</f>
        <v>0</v>
      </c>
      <c r="H17" s="426">
        <f>'Market Data'!$O$52*'Mkt Pen Veh-Mi'!H17</f>
        <v>0.24189234497249509</v>
      </c>
      <c r="I17" s="427">
        <f>'Market Data'!$O$52*'Mkt Pen Veh-Mi'!I17</f>
        <v>0</v>
      </c>
      <c r="J17" s="427">
        <f>'Market Data'!$O$52*'Mkt Pen Veh-Mi'!J17</f>
        <v>0</v>
      </c>
      <c r="K17" s="701">
        <f>'Market Data'!$O$52*'Mkt Pen Veh-Mi'!K17</f>
        <v>0</v>
      </c>
      <c r="L17" s="701">
        <f>'Market Data'!$O$52*'Mkt Pen Veh-Mi'!L17</f>
        <v>0</v>
      </c>
      <c r="M17" s="706">
        <f>'Market Data'!$O$52*'Mkt Pen Veh-Mi'!M17</f>
        <v>0</v>
      </c>
      <c r="N17" s="426">
        <f>'Market Data'!$Y$52*'Mkt Pen Veh-Mi'!N17</f>
        <v>8.967840728757831E-2</v>
      </c>
      <c r="O17" s="427">
        <f>'Market Data'!$Y$52*'Mkt Pen Veh-Mi'!O17</f>
        <v>0</v>
      </c>
      <c r="P17" s="427">
        <f>'Market Data'!$Y$52*'Mkt Pen Veh-Mi'!P17</f>
        <v>0</v>
      </c>
      <c r="Q17" s="701">
        <f>'Market Data'!$Y$52*'Mkt Pen Veh-Mi'!Q17</f>
        <v>0</v>
      </c>
      <c r="R17" s="701">
        <f>'Market Data'!$Y$52*'Mkt Pen Veh-Mi'!R17</f>
        <v>0</v>
      </c>
      <c r="S17" s="706">
        <f>'Market Data'!$Y$52*'Mkt Pen Veh-Mi'!S17</f>
        <v>0</v>
      </c>
      <c r="T17" s="426">
        <f t="shared" si="6"/>
        <v>0.99999999999999989</v>
      </c>
      <c r="U17" s="428">
        <f t="shared" si="7"/>
        <v>0</v>
      </c>
      <c r="X17" s="117"/>
    </row>
    <row r="18" spans="1:24" ht="15" x14ac:dyDescent="0.25">
      <c r="A18" s="429">
        <v>2016</v>
      </c>
      <c r="B18" s="430">
        <f>'Market Data'!$E$52*'Mkt Pen Veh-Mi'!B18</f>
        <v>0.66842924773992651</v>
      </c>
      <c r="C18" s="431">
        <f>'Market Data'!$E$52*'Mkt Pen Veh-Mi'!C18</f>
        <v>0</v>
      </c>
      <c r="D18" s="431">
        <f>'Market Data'!$E$52*'Mkt Pen Veh-Mi'!D18</f>
        <v>0</v>
      </c>
      <c r="E18" s="702">
        <f>'Market Data'!$E$52*'Mkt Pen Veh-Mi'!E18</f>
        <v>0</v>
      </c>
      <c r="F18" s="702">
        <f>'Market Data'!$E$52*'Mkt Pen Veh-Mi'!F18</f>
        <v>0</v>
      </c>
      <c r="G18" s="707">
        <f>'Market Data'!$E$52*'Mkt Pen Veh-Mi'!G18</f>
        <v>0</v>
      </c>
      <c r="H18" s="430">
        <f>'Market Data'!$O$52*'Mkt Pen Veh-Mi'!H18</f>
        <v>0.24189234497249509</v>
      </c>
      <c r="I18" s="431">
        <f>'Market Data'!$O$52*'Mkt Pen Veh-Mi'!I18</f>
        <v>0</v>
      </c>
      <c r="J18" s="431">
        <f>'Market Data'!$O$52*'Mkt Pen Veh-Mi'!J18</f>
        <v>0</v>
      </c>
      <c r="K18" s="702">
        <f>'Market Data'!$O$52*'Mkt Pen Veh-Mi'!K18</f>
        <v>0</v>
      </c>
      <c r="L18" s="702">
        <f>'Market Data'!$O$52*'Mkt Pen Veh-Mi'!L18</f>
        <v>0</v>
      </c>
      <c r="M18" s="707">
        <f>'Market Data'!$O$52*'Mkt Pen Veh-Mi'!M18</f>
        <v>0</v>
      </c>
      <c r="N18" s="430">
        <f>'Market Data'!$Y$52*'Mkt Pen Veh-Mi'!N18</f>
        <v>8.967840728757831E-2</v>
      </c>
      <c r="O18" s="431">
        <f>'Market Data'!$Y$52*'Mkt Pen Veh-Mi'!O18</f>
        <v>0</v>
      </c>
      <c r="P18" s="431">
        <f>'Market Data'!$Y$52*'Mkt Pen Veh-Mi'!P18</f>
        <v>0</v>
      </c>
      <c r="Q18" s="702">
        <f>'Market Data'!$Y$52*'Mkt Pen Veh-Mi'!Q18</f>
        <v>0</v>
      </c>
      <c r="R18" s="702">
        <f>'Market Data'!$Y$52*'Mkt Pen Veh-Mi'!R18</f>
        <v>0</v>
      </c>
      <c r="S18" s="707">
        <f>'Market Data'!$Y$52*'Mkt Pen Veh-Mi'!S18</f>
        <v>0</v>
      </c>
      <c r="T18" s="433">
        <f t="shared" si="6"/>
        <v>0.99999999999999989</v>
      </c>
      <c r="U18" s="434">
        <f>SUM(C18:G18)+SUM(I18:M18)+SUM(O18:S18)</f>
        <v>0</v>
      </c>
      <c r="X18" s="117"/>
    </row>
    <row r="19" spans="1:24" ht="15" x14ac:dyDescent="0.25">
      <c r="A19" s="403">
        <v>2017</v>
      </c>
      <c r="B19" s="423">
        <f>'Market Data'!$E$52*'Mkt Pen Veh-Mi'!B19</f>
        <v>0.66842924773992651</v>
      </c>
      <c r="C19" s="424">
        <f>'Market Data'!$E$52*'Mkt Pen Veh-Mi'!C19</f>
        <v>0</v>
      </c>
      <c r="D19" s="424">
        <f>'Market Data'!$E$52*'Mkt Pen Veh-Mi'!D19</f>
        <v>0</v>
      </c>
      <c r="E19" s="700">
        <f>'Market Data'!$E$52*'Mkt Pen Veh-Mi'!E19</f>
        <v>0</v>
      </c>
      <c r="F19" s="700">
        <f>'Market Data'!$E$52*'Mkt Pen Veh-Mi'!F19</f>
        <v>0</v>
      </c>
      <c r="G19" s="705">
        <f>'Market Data'!$E$52*'Mkt Pen Veh-Mi'!G19</f>
        <v>0</v>
      </c>
      <c r="H19" s="423">
        <f>'Market Data'!$O$52*'Mkt Pen Veh-Mi'!H19</f>
        <v>0.24189234497249509</v>
      </c>
      <c r="I19" s="424">
        <f>'Market Data'!$O$52*'Mkt Pen Veh-Mi'!I19</f>
        <v>0</v>
      </c>
      <c r="J19" s="424">
        <f>'Market Data'!$O$52*'Mkt Pen Veh-Mi'!J19</f>
        <v>0</v>
      </c>
      <c r="K19" s="700">
        <f>'Market Data'!$O$52*'Mkt Pen Veh-Mi'!K19</f>
        <v>0</v>
      </c>
      <c r="L19" s="700">
        <f>'Market Data'!$O$52*'Mkt Pen Veh-Mi'!L19</f>
        <v>0</v>
      </c>
      <c r="M19" s="705">
        <f>'Market Data'!$O$52*'Mkt Pen Veh-Mi'!M19</f>
        <v>0</v>
      </c>
      <c r="N19" s="423">
        <f>'Market Data'!$Y$52*'Mkt Pen Veh-Mi'!N19</f>
        <v>8.967840728757831E-2</v>
      </c>
      <c r="O19" s="424">
        <f>'Market Data'!$Y$52*'Mkt Pen Veh-Mi'!O19</f>
        <v>0</v>
      </c>
      <c r="P19" s="424">
        <f>'Market Data'!$Y$52*'Mkt Pen Veh-Mi'!P19</f>
        <v>0</v>
      </c>
      <c r="Q19" s="700">
        <f>'Market Data'!$Y$52*'Mkt Pen Veh-Mi'!Q19</f>
        <v>0</v>
      </c>
      <c r="R19" s="700">
        <f>'Market Data'!$Y$52*'Mkt Pen Veh-Mi'!R19</f>
        <v>0</v>
      </c>
      <c r="S19" s="705">
        <f>'Market Data'!$Y$52*'Mkt Pen Veh-Mi'!S19</f>
        <v>0</v>
      </c>
      <c r="T19" s="423">
        <f t="shared" si="6"/>
        <v>0.99999999999999989</v>
      </c>
      <c r="U19" s="425">
        <f t="shared" ref="U19:U52" si="8">SUM(C19:G19)+SUM(I19:M19)+SUM(O19:S19)</f>
        <v>0</v>
      </c>
      <c r="X19" s="117"/>
    </row>
    <row r="20" spans="1:24" ht="15" x14ac:dyDescent="0.25">
      <c r="A20" s="403">
        <v>2018</v>
      </c>
      <c r="B20" s="423">
        <f>'Market Data'!$E$52*'Mkt Pen Veh-Mi'!B20</f>
        <v>0.66842924773992651</v>
      </c>
      <c r="C20" s="424">
        <f>'Market Data'!$E$52*'Mkt Pen Veh-Mi'!C20</f>
        <v>0</v>
      </c>
      <c r="D20" s="424">
        <f>'Market Data'!$E$52*'Mkt Pen Veh-Mi'!D20</f>
        <v>0</v>
      </c>
      <c r="E20" s="700">
        <f>'Market Data'!$E$52*'Mkt Pen Veh-Mi'!E20</f>
        <v>0</v>
      </c>
      <c r="F20" s="700">
        <f>'Market Data'!$E$52*'Mkt Pen Veh-Mi'!F20</f>
        <v>0</v>
      </c>
      <c r="G20" s="705">
        <f>'Market Data'!$E$52*'Mkt Pen Veh-Mi'!G20</f>
        <v>0</v>
      </c>
      <c r="H20" s="423">
        <f>'Market Data'!$O$52*'Mkt Pen Veh-Mi'!H20</f>
        <v>0.24189234497249509</v>
      </c>
      <c r="I20" s="424">
        <f>'Market Data'!$O$52*'Mkt Pen Veh-Mi'!I20</f>
        <v>0</v>
      </c>
      <c r="J20" s="424">
        <f>'Market Data'!$O$52*'Mkt Pen Veh-Mi'!J20</f>
        <v>0</v>
      </c>
      <c r="K20" s="700">
        <f>'Market Data'!$O$52*'Mkt Pen Veh-Mi'!K20</f>
        <v>0</v>
      </c>
      <c r="L20" s="700">
        <f>'Market Data'!$O$52*'Mkt Pen Veh-Mi'!L20</f>
        <v>0</v>
      </c>
      <c r="M20" s="705">
        <f>'Market Data'!$O$52*'Mkt Pen Veh-Mi'!M20</f>
        <v>0</v>
      </c>
      <c r="N20" s="423">
        <f>'Market Data'!$Y$52*'Mkt Pen Veh-Mi'!N20</f>
        <v>8.967840728757831E-2</v>
      </c>
      <c r="O20" s="424">
        <f>'Market Data'!$Y$52*'Mkt Pen Veh-Mi'!O20</f>
        <v>0</v>
      </c>
      <c r="P20" s="424">
        <f>'Market Data'!$Y$52*'Mkt Pen Veh-Mi'!P20</f>
        <v>0</v>
      </c>
      <c r="Q20" s="700">
        <f>'Market Data'!$Y$52*'Mkt Pen Veh-Mi'!Q20</f>
        <v>0</v>
      </c>
      <c r="R20" s="700">
        <f>'Market Data'!$Y$52*'Mkt Pen Veh-Mi'!R20</f>
        <v>0</v>
      </c>
      <c r="S20" s="705">
        <f>'Market Data'!$Y$52*'Mkt Pen Veh-Mi'!S20</f>
        <v>0</v>
      </c>
      <c r="T20" s="423">
        <f t="shared" si="6"/>
        <v>0.99999999999999989</v>
      </c>
      <c r="U20" s="425">
        <f t="shared" si="8"/>
        <v>0</v>
      </c>
      <c r="X20" s="117"/>
    </row>
    <row r="21" spans="1:24" ht="15" x14ac:dyDescent="0.25">
      <c r="A21" s="403">
        <v>2019</v>
      </c>
      <c r="B21" s="423">
        <f>'Market Data'!$E$52*'Mkt Pen Veh-Mi'!B21</f>
        <v>0.66842924773992651</v>
      </c>
      <c r="C21" s="424">
        <f>'Market Data'!$E$52*'Mkt Pen Veh-Mi'!C21</f>
        <v>0</v>
      </c>
      <c r="D21" s="424">
        <f>'Market Data'!$E$52*'Mkt Pen Veh-Mi'!D21</f>
        <v>0</v>
      </c>
      <c r="E21" s="700">
        <f>'Market Data'!$E$52*'Mkt Pen Veh-Mi'!E21</f>
        <v>0</v>
      </c>
      <c r="F21" s="700">
        <f>'Market Data'!$E$52*'Mkt Pen Veh-Mi'!F21</f>
        <v>0</v>
      </c>
      <c r="G21" s="705">
        <f>'Market Data'!$E$52*'Mkt Pen Veh-Mi'!G21</f>
        <v>0</v>
      </c>
      <c r="H21" s="423">
        <f>'Market Data'!$O$52*'Mkt Pen Veh-Mi'!H21</f>
        <v>0.24189234497249509</v>
      </c>
      <c r="I21" s="424">
        <f>'Market Data'!$O$52*'Mkt Pen Veh-Mi'!I21</f>
        <v>0</v>
      </c>
      <c r="J21" s="424">
        <f>'Market Data'!$O$52*'Mkt Pen Veh-Mi'!J21</f>
        <v>0</v>
      </c>
      <c r="K21" s="700">
        <f>'Market Data'!$O$52*'Mkt Pen Veh-Mi'!K21</f>
        <v>0</v>
      </c>
      <c r="L21" s="700">
        <f>'Market Data'!$O$52*'Mkt Pen Veh-Mi'!L21</f>
        <v>0</v>
      </c>
      <c r="M21" s="705">
        <f>'Market Data'!$O$52*'Mkt Pen Veh-Mi'!M21</f>
        <v>0</v>
      </c>
      <c r="N21" s="423">
        <f>'Market Data'!$Y$52*'Mkt Pen Veh-Mi'!N21</f>
        <v>8.967840728757831E-2</v>
      </c>
      <c r="O21" s="424">
        <f>'Market Data'!$Y$52*'Mkt Pen Veh-Mi'!O21</f>
        <v>0</v>
      </c>
      <c r="P21" s="424">
        <f>'Market Data'!$Y$52*'Mkt Pen Veh-Mi'!P21</f>
        <v>0</v>
      </c>
      <c r="Q21" s="700">
        <f>'Market Data'!$Y$52*'Mkt Pen Veh-Mi'!Q21</f>
        <v>0</v>
      </c>
      <c r="R21" s="700">
        <f>'Market Data'!$Y$52*'Mkt Pen Veh-Mi'!R21</f>
        <v>0</v>
      </c>
      <c r="S21" s="705">
        <f>'Market Data'!$Y$52*'Mkt Pen Veh-Mi'!S21</f>
        <v>0</v>
      </c>
      <c r="T21" s="423">
        <f t="shared" si="6"/>
        <v>0.99999999999999989</v>
      </c>
      <c r="U21" s="425">
        <f t="shared" si="8"/>
        <v>0</v>
      </c>
      <c r="X21" s="117"/>
    </row>
    <row r="22" spans="1:24" ht="15" x14ac:dyDescent="0.25">
      <c r="A22" s="402">
        <v>2020</v>
      </c>
      <c r="B22" s="426">
        <f>'Market Data'!$E$52*'Mkt Pen Veh-Mi'!B22</f>
        <v>0.66842924773992651</v>
      </c>
      <c r="C22" s="427">
        <f>'Market Data'!$E$52*'Mkt Pen Veh-Mi'!C22</f>
        <v>0</v>
      </c>
      <c r="D22" s="427">
        <f>'Market Data'!$E$52*'Mkt Pen Veh-Mi'!D22</f>
        <v>0</v>
      </c>
      <c r="E22" s="701">
        <f>'Market Data'!$E$52*'Mkt Pen Veh-Mi'!E22</f>
        <v>0</v>
      </c>
      <c r="F22" s="701">
        <f>'Market Data'!$E$52*'Mkt Pen Veh-Mi'!F22</f>
        <v>0</v>
      </c>
      <c r="G22" s="706">
        <f>'Market Data'!$E$52*'Mkt Pen Veh-Mi'!G22</f>
        <v>0</v>
      </c>
      <c r="H22" s="426">
        <f>'Market Data'!$O$52*'Mkt Pen Veh-Mi'!H22</f>
        <v>0.24189234497249509</v>
      </c>
      <c r="I22" s="427">
        <f>'Market Data'!$O$52*'Mkt Pen Veh-Mi'!I22</f>
        <v>0</v>
      </c>
      <c r="J22" s="427">
        <f>'Market Data'!$O$52*'Mkt Pen Veh-Mi'!J22</f>
        <v>0</v>
      </c>
      <c r="K22" s="701">
        <f>'Market Data'!$O$52*'Mkt Pen Veh-Mi'!K22</f>
        <v>0</v>
      </c>
      <c r="L22" s="701">
        <f>'Market Data'!$O$52*'Mkt Pen Veh-Mi'!L22</f>
        <v>0</v>
      </c>
      <c r="M22" s="706">
        <f>'Market Data'!$O$52*'Mkt Pen Veh-Mi'!M22</f>
        <v>0</v>
      </c>
      <c r="N22" s="426">
        <f>'Market Data'!$Y$52*'Mkt Pen Veh-Mi'!N22</f>
        <v>8.967840728757831E-2</v>
      </c>
      <c r="O22" s="427">
        <f>'Market Data'!$Y$52*'Mkt Pen Veh-Mi'!O22</f>
        <v>0</v>
      </c>
      <c r="P22" s="427">
        <f>'Market Data'!$Y$52*'Mkt Pen Veh-Mi'!P22</f>
        <v>0</v>
      </c>
      <c r="Q22" s="701">
        <f>'Market Data'!$Y$52*'Mkt Pen Veh-Mi'!Q22</f>
        <v>0</v>
      </c>
      <c r="R22" s="701">
        <f>'Market Data'!$Y$52*'Mkt Pen Veh-Mi'!R22</f>
        <v>0</v>
      </c>
      <c r="S22" s="706">
        <f>'Market Data'!$Y$52*'Mkt Pen Veh-Mi'!S22</f>
        <v>0</v>
      </c>
      <c r="T22" s="426">
        <f t="shared" si="6"/>
        <v>0.99999999999999989</v>
      </c>
      <c r="U22" s="428">
        <f t="shared" si="8"/>
        <v>0</v>
      </c>
      <c r="X22" s="117"/>
    </row>
    <row r="23" spans="1:24" ht="15" x14ac:dyDescent="0.25">
      <c r="A23" s="429">
        <v>2021</v>
      </c>
      <c r="B23" s="430">
        <f>'Market Data'!$E$52*'Mkt Pen Veh-Mi'!B23</f>
        <v>0.66842924773992651</v>
      </c>
      <c r="C23" s="431">
        <f>'Market Data'!$E$52*'Mkt Pen Veh-Mi'!C23</f>
        <v>0</v>
      </c>
      <c r="D23" s="431">
        <f>'Market Data'!$E$52*'Mkt Pen Veh-Mi'!D23</f>
        <v>0</v>
      </c>
      <c r="E23" s="702">
        <f>'Market Data'!$E$52*'Mkt Pen Veh-Mi'!E23</f>
        <v>0</v>
      </c>
      <c r="F23" s="702">
        <f>'Market Data'!$E$52*'Mkt Pen Veh-Mi'!F23</f>
        <v>0</v>
      </c>
      <c r="G23" s="707">
        <f>'Market Data'!$E$52*'Mkt Pen Veh-Mi'!G23</f>
        <v>0</v>
      </c>
      <c r="H23" s="430">
        <f>'Market Data'!$O$52*'Mkt Pen Veh-Mi'!H23</f>
        <v>0.24189234497249509</v>
      </c>
      <c r="I23" s="431">
        <f>'Market Data'!$O$52*'Mkt Pen Veh-Mi'!I23</f>
        <v>0</v>
      </c>
      <c r="J23" s="431">
        <f>'Market Data'!$O$52*'Mkt Pen Veh-Mi'!J23</f>
        <v>0</v>
      </c>
      <c r="K23" s="702">
        <f>'Market Data'!$O$52*'Mkt Pen Veh-Mi'!K23</f>
        <v>0</v>
      </c>
      <c r="L23" s="702">
        <f>'Market Data'!$O$52*'Mkt Pen Veh-Mi'!L23</f>
        <v>0</v>
      </c>
      <c r="M23" s="707">
        <f>'Market Data'!$O$52*'Mkt Pen Veh-Mi'!M23</f>
        <v>0</v>
      </c>
      <c r="N23" s="430">
        <f>'Market Data'!$Y$52*'Mkt Pen Veh-Mi'!N23</f>
        <v>8.967840728757831E-2</v>
      </c>
      <c r="O23" s="431">
        <f>'Market Data'!$Y$52*'Mkt Pen Veh-Mi'!O23</f>
        <v>0</v>
      </c>
      <c r="P23" s="431">
        <f>'Market Data'!$Y$52*'Mkt Pen Veh-Mi'!P23</f>
        <v>0</v>
      </c>
      <c r="Q23" s="702">
        <f>'Market Data'!$Y$52*'Mkt Pen Veh-Mi'!Q23</f>
        <v>0</v>
      </c>
      <c r="R23" s="702">
        <f>'Market Data'!$Y$52*'Mkt Pen Veh-Mi'!R23</f>
        <v>0</v>
      </c>
      <c r="S23" s="707">
        <f>'Market Data'!$Y$52*'Mkt Pen Veh-Mi'!S23</f>
        <v>0</v>
      </c>
      <c r="T23" s="433">
        <f t="shared" si="6"/>
        <v>0.99999999999999989</v>
      </c>
      <c r="U23" s="434">
        <f t="shared" si="8"/>
        <v>0</v>
      </c>
      <c r="X23" s="117"/>
    </row>
    <row r="24" spans="1:24" ht="15" x14ac:dyDescent="0.25">
      <c r="A24" s="403">
        <v>2022</v>
      </c>
      <c r="B24" s="423">
        <f>'Market Data'!$E$52*'Mkt Pen Veh-Mi'!B24</f>
        <v>0.66842924773992651</v>
      </c>
      <c r="C24" s="424">
        <f>'Market Data'!$E$52*'Mkt Pen Veh-Mi'!C24</f>
        <v>0</v>
      </c>
      <c r="D24" s="424">
        <f>'Market Data'!$E$52*'Mkt Pen Veh-Mi'!D24</f>
        <v>0</v>
      </c>
      <c r="E24" s="700">
        <f>'Market Data'!$E$52*'Mkt Pen Veh-Mi'!E24</f>
        <v>0</v>
      </c>
      <c r="F24" s="700">
        <f>'Market Data'!$E$52*'Mkt Pen Veh-Mi'!F24</f>
        <v>0</v>
      </c>
      <c r="G24" s="705">
        <f>'Market Data'!$E$52*'Mkt Pen Veh-Mi'!G24</f>
        <v>0</v>
      </c>
      <c r="H24" s="423">
        <f>'Market Data'!$O$52*'Mkt Pen Veh-Mi'!H24</f>
        <v>0.24189234497249509</v>
      </c>
      <c r="I24" s="424">
        <f>'Market Data'!$O$52*'Mkt Pen Veh-Mi'!I24</f>
        <v>0</v>
      </c>
      <c r="J24" s="424">
        <f>'Market Data'!$O$52*'Mkt Pen Veh-Mi'!J24</f>
        <v>0</v>
      </c>
      <c r="K24" s="700">
        <f>'Market Data'!$O$52*'Mkt Pen Veh-Mi'!K24</f>
        <v>0</v>
      </c>
      <c r="L24" s="700">
        <f>'Market Data'!$O$52*'Mkt Pen Veh-Mi'!L24</f>
        <v>0</v>
      </c>
      <c r="M24" s="705">
        <f>'Market Data'!$O$52*'Mkt Pen Veh-Mi'!M24</f>
        <v>0</v>
      </c>
      <c r="N24" s="423">
        <f>'Market Data'!$Y$52*'Mkt Pen Veh-Mi'!N24</f>
        <v>8.967840728757831E-2</v>
      </c>
      <c r="O24" s="424">
        <f>'Market Data'!$Y$52*'Mkt Pen Veh-Mi'!O24</f>
        <v>0</v>
      </c>
      <c r="P24" s="424">
        <f>'Market Data'!$Y$52*'Mkt Pen Veh-Mi'!P24</f>
        <v>0</v>
      </c>
      <c r="Q24" s="700">
        <f>'Market Data'!$Y$52*'Mkt Pen Veh-Mi'!Q24</f>
        <v>0</v>
      </c>
      <c r="R24" s="700">
        <f>'Market Data'!$Y$52*'Mkt Pen Veh-Mi'!R24</f>
        <v>0</v>
      </c>
      <c r="S24" s="705">
        <f>'Market Data'!$Y$52*'Mkt Pen Veh-Mi'!S24</f>
        <v>0</v>
      </c>
      <c r="T24" s="423">
        <f t="shared" si="6"/>
        <v>0.99999999999999989</v>
      </c>
      <c r="U24" s="425">
        <f t="shared" si="8"/>
        <v>0</v>
      </c>
      <c r="X24" s="117"/>
    </row>
    <row r="25" spans="1:24" ht="15" x14ac:dyDescent="0.25">
      <c r="A25" s="403">
        <v>2023</v>
      </c>
      <c r="B25" s="423">
        <f>'Market Data'!$E$52*'Mkt Pen Veh-Mi'!B25</f>
        <v>0.66842924773992651</v>
      </c>
      <c r="C25" s="424">
        <f>'Market Data'!$E$52*'Mkt Pen Veh-Mi'!C25</f>
        <v>0</v>
      </c>
      <c r="D25" s="424">
        <f>'Market Data'!$E$52*'Mkt Pen Veh-Mi'!D25</f>
        <v>0</v>
      </c>
      <c r="E25" s="700">
        <f>'Market Data'!$E$52*'Mkt Pen Veh-Mi'!E25</f>
        <v>0</v>
      </c>
      <c r="F25" s="700">
        <f>'Market Data'!$E$52*'Mkt Pen Veh-Mi'!F25</f>
        <v>0</v>
      </c>
      <c r="G25" s="705">
        <f>'Market Data'!$E$52*'Mkt Pen Veh-Mi'!G25</f>
        <v>0</v>
      </c>
      <c r="H25" s="423">
        <f>'Market Data'!$O$52*'Mkt Pen Veh-Mi'!H25</f>
        <v>0.24189234497249509</v>
      </c>
      <c r="I25" s="424">
        <f>'Market Data'!$O$52*'Mkt Pen Veh-Mi'!I25</f>
        <v>0</v>
      </c>
      <c r="J25" s="424">
        <f>'Market Data'!$O$52*'Mkt Pen Veh-Mi'!J25</f>
        <v>0</v>
      </c>
      <c r="K25" s="700">
        <f>'Market Data'!$O$52*'Mkt Pen Veh-Mi'!K25</f>
        <v>0</v>
      </c>
      <c r="L25" s="700">
        <f>'Market Data'!$O$52*'Mkt Pen Veh-Mi'!L25</f>
        <v>0</v>
      </c>
      <c r="M25" s="705">
        <f>'Market Data'!$O$52*'Mkt Pen Veh-Mi'!M25</f>
        <v>0</v>
      </c>
      <c r="N25" s="423">
        <f>'Market Data'!$Y$52*'Mkt Pen Veh-Mi'!N25</f>
        <v>8.967840728757831E-2</v>
      </c>
      <c r="O25" s="424">
        <f>'Market Data'!$Y$52*'Mkt Pen Veh-Mi'!O25</f>
        <v>0</v>
      </c>
      <c r="P25" s="424">
        <f>'Market Data'!$Y$52*'Mkt Pen Veh-Mi'!P25</f>
        <v>0</v>
      </c>
      <c r="Q25" s="700">
        <f>'Market Data'!$Y$52*'Mkt Pen Veh-Mi'!Q25</f>
        <v>0</v>
      </c>
      <c r="R25" s="700">
        <f>'Market Data'!$Y$52*'Mkt Pen Veh-Mi'!R25</f>
        <v>0</v>
      </c>
      <c r="S25" s="705">
        <f>'Market Data'!$Y$52*'Mkt Pen Veh-Mi'!S25</f>
        <v>0</v>
      </c>
      <c r="T25" s="423">
        <f t="shared" si="6"/>
        <v>0.99999999999999989</v>
      </c>
      <c r="U25" s="425">
        <f t="shared" si="8"/>
        <v>0</v>
      </c>
      <c r="X25" s="117"/>
    </row>
    <row r="26" spans="1:24" ht="15" x14ac:dyDescent="0.25">
      <c r="A26" s="403">
        <v>2024</v>
      </c>
      <c r="B26" s="423">
        <f>'Market Data'!$E$52*'Mkt Pen Veh-Mi'!B26</f>
        <v>0.66842924773992651</v>
      </c>
      <c r="C26" s="424">
        <f>'Market Data'!$E$52*'Mkt Pen Veh-Mi'!C26</f>
        <v>0</v>
      </c>
      <c r="D26" s="424">
        <f>'Market Data'!$E$52*'Mkt Pen Veh-Mi'!D26</f>
        <v>0</v>
      </c>
      <c r="E26" s="700">
        <f>'Market Data'!$E$52*'Mkt Pen Veh-Mi'!E26</f>
        <v>0</v>
      </c>
      <c r="F26" s="700">
        <f>'Market Data'!$E$52*'Mkt Pen Veh-Mi'!F26</f>
        <v>0</v>
      </c>
      <c r="G26" s="705">
        <f>'Market Data'!$E$52*'Mkt Pen Veh-Mi'!G26</f>
        <v>0</v>
      </c>
      <c r="H26" s="423">
        <f>'Market Data'!$O$52*'Mkt Pen Veh-Mi'!H26</f>
        <v>0.24189234497249509</v>
      </c>
      <c r="I26" s="424">
        <f>'Market Data'!$O$52*'Mkt Pen Veh-Mi'!I26</f>
        <v>0</v>
      </c>
      <c r="J26" s="424">
        <f>'Market Data'!$O$52*'Mkt Pen Veh-Mi'!J26</f>
        <v>0</v>
      </c>
      <c r="K26" s="700">
        <f>'Market Data'!$O$52*'Mkt Pen Veh-Mi'!K26</f>
        <v>0</v>
      </c>
      <c r="L26" s="700">
        <f>'Market Data'!$O$52*'Mkt Pen Veh-Mi'!L26</f>
        <v>0</v>
      </c>
      <c r="M26" s="705">
        <f>'Market Data'!$O$52*'Mkt Pen Veh-Mi'!M26</f>
        <v>0</v>
      </c>
      <c r="N26" s="423">
        <f>'Market Data'!$Y$52*'Mkt Pen Veh-Mi'!N26</f>
        <v>8.967840728757831E-2</v>
      </c>
      <c r="O26" s="424">
        <f>'Market Data'!$Y$52*'Mkt Pen Veh-Mi'!O26</f>
        <v>0</v>
      </c>
      <c r="P26" s="424">
        <f>'Market Data'!$Y$52*'Mkt Pen Veh-Mi'!P26</f>
        <v>0</v>
      </c>
      <c r="Q26" s="700">
        <f>'Market Data'!$Y$52*'Mkt Pen Veh-Mi'!Q26</f>
        <v>0</v>
      </c>
      <c r="R26" s="700">
        <f>'Market Data'!$Y$52*'Mkt Pen Veh-Mi'!R26</f>
        <v>0</v>
      </c>
      <c r="S26" s="705">
        <f>'Market Data'!$Y$52*'Mkt Pen Veh-Mi'!S26</f>
        <v>0</v>
      </c>
      <c r="T26" s="423">
        <f t="shared" si="6"/>
        <v>0.99999999999999989</v>
      </c>
      <c r="U26" s="425">
        <f t="shared" si="8"/>
        <v>0</v>
      </c>
      <c r="X26" s="117"/>
    </row>
    <row r="27" spans="1:24" ht="15" x14ac:dyDescent="0.25">
      <c r="A27" s="402">
        <v>2025</v>
      </c>
      <c r="B27" s="426">
        <f>'Market Data'!$E$52*'Mkt Pen Veh-Mi'!B27</f>
        <v>0.66842924773992651</v>
      </c>
      <c r="C27" s="427">
        <f>'Market Data'!$E$52*'Mkt Pen Veh-Mi'!C27</f>
        <v>0</v>
      </c>
      <c r="D27" s="427">
        <f>'Market Data'!$E$52*'Mkt Pen Veh-Mi'!D27</f>
        <v>0</v>
      </c>
      <c r="E27" s="701">
        <f>'Market Data'!$E$52*'Mkt Pen Veh-Mi'!E27</f>
        <v>0</v>
      </c>
      <c r="F27" s="701">
        <f>'Market Data'!$E$52*'Mkt Pen Veh-Mi'!F27</f>
        <v>0</v>
      </c>
      <c r="G27" s="706">
        <f>'Market Data'!$E$52*'Mkt Pen Veh-Mi'!G27</f>
        <v>0</v>
      </c>
      <c r="H27" s="426">
        <f>'Market Data'!$O$52*'Mkt Pen Veh-Mi'!H27</f>
        <v>0.24189234497249509</v>
      </c>
      <c r="I27" s="427">
        <f>'Market Data'!$O$52*'Mkt Pen Veh-Mi'!I27</f>
        <v>0</v>
      </c>
      <c r="J27" s="427">
        <f>'Market Data'!$O$52*'Mkt Pen Veh-Mi'!J27</f>
        <v>0</v>
      </c>
      <c r="K27" s="701">
        <f>'Market Data'!$O$52*'Mkt Pen Veh-Mi'!K27</f>
        <v>0</v>
      </c>
      <c r="L27" s="701">
        <f>'Market Data'!$O$52*'Mkt Pen Veh-Mi'!L27</f>
        <v>0</v>
      </c>
      <c r="M27" s="706">
        <f>'Market Data'!$O$52*'Mkt Pen Veh-Mi'!M27</f>
        <v>0</v>
      </c>
      <c r="N27" s="426">
        <f>'Market Data'!$Y$52*'Mkt Pen Veh-Mi'!N27</f>
        <v>8.967840728757831E-2</v>
      </c>
      <c r="O27" s="427">
        <f>'Market Data'!$Y$52*'Mkt Pen Veh-Mi'!O27</f>
        <v>0</v>
      </c>
      <c r="P27" s="427">
        <f>'Market Data'!$Y$52*'Mkt Pen Veh-Mi'!P27</f>
        <v>0</v>
      </c>
      <c r="Q27" s="701">
        <f>'Market Data'!$Y$52*'Mkt Pen Veh-Mi'!Q27</f>
        <v>0</v>
      </c>
      <c r="R27" s="701">
        <f>'Market Data'!$Y$52*'Mkt Pen Veh-Mi'!R27</f>
        <v>0</v>
      </c>
      <c r="S27" s="706">
        <f>'Market Data'!$Y$52*'Mkt Pen Veh-Mi'!S27</f>
        <v>0</v>
      </c>
      <c r="T27" s="426">
        <f t="shared" si="6"/>
        <v>0.99999999999999989</v>
      </c>
      <c r="U27" s="428">
        <f t="shared" si="8"/>
        <v>0</v>
      </c>
      <c r="X27" s="117"/>
    </row>
    <row r="28" spans="1:24" ht="15" x14ac:dyDescent="0.25">
      <c r="A28" s="429">
        <v>2026</v>
      </c>
      <c r="B28" s="430">
        <f>'Market Data'!$E$52*'Mkt Pen Veh-Mi'!B28</f>
        <v>0.64857566560595026</v>
      </c>
      <c r="C28" s="431">
        <f>'Market Data'!$E$52*'Mkt Pen Veh-Mi'!C28</f>
        <v>1.1679321073681449E-2</v>
      </c>
      <c r="D28" s="431">
        <f>'Market Data'!$E$52*'Mkt Pen Veh-Mi'!D28</f>
        <v>8.1742610602947505E-3</v>
      </c>
      <c r="E28" s="702">
        <f>'Market Data'!$E$52*'Mkt Pen Veh-Mi'!E28</f>
        <v>0</v>
      </c>
      <c r="F28" s="702">
        <f>'Market Data'!$E$52*'Mkt Pen Veh-Mi'!F28</f>
        <v>0</v>
      </c>
      <c r="G28" s="707">
        <f>'Market Data'!$E$52*'Mkt Pen Veh-Mi'!G28</f>
        <v>0</v>
      </c>
      <c r="H28" s="430">
        <f>'Market Data'!$O$52*'Mkt Pen Veh-Mi'!H28</f>
        <v>0.23557580303549777</v>
      </c>
      <c r="I28" s="431">
        <f>'Market Data'!$O$52*'Mkt Pen Veh-Mi'!I28</f>
        <v>3.799875823975141E-3</v>
      </c>
      <c r="J28" s="431">
        <f>'Market Data'!$O$52*'Mkt Pen Veh-Mi'!J28</f>
        <v>2.5166661130221727E-3</v>
      </c>
      <c r="K28" s="702">
        <f>'Market Data'!$O$52*'Mkt Pen Veh-Mi'!K28</f>
        <v>0</v>
      </c>
      <c r="L28" s="702">
        <f>'Market Data'!$O$52*'Mkt Pen Veh-Mi'!L28</f>
        <v>0</v>
      </c>
      <c r="M28" s="707">
        <f>'Market Data'!$O$52*'Mkt Pen Veh-Mi'!M28</f>
        <v>0</v>
      </c>
      <c r="N28" s="430">
        <f>'Market Data'!$Y$52*'Mkt Pen Veh-Mi'!N28</f>
        <v>8.5551931916324334E-2</v>
      </c>
      <c r="O28" s="431">
        <f>'Market Data'!$Y$52*'Mkt Pen Veh-Mi'!O28</f>
        <v>2.4742074779176811E-3</v>
      </c>
      <c r="P28" s="431">
        <f>'Market Data'!$Y$52*'Mkt Pen Veh-Mi'!P28</f>
        <v>1.6522678933363014E-3</v>
      </c>
      <c r="Q28" s="702">
        <f>'Market Data'!$Y$52*'Mkt Pen Veh-Mi'!Q28</f>
        <v>0</v>
      </c>
      <c r="R28" s="702">
        <f>'Market Data'!$Y$52*'Mkt Pen Veh-Mi'!R28</f>
        <v>0</v>
      </c>
      <c r="S28" s="707">
        <f>'Market Data'!$Y$52*'Mkt Pen Veh-Mi'!S28</f>
        <v>0</v>
      </c>
      <c r="T28" s="433">
        <f t="shared" si="6"/>
        <v>0.96970340055777238</v>
      </c>
      <c r="U28" s="434">
        <f t="shared" si="8"/>
        <v>3.0296599442227498E-2</v>
      </c>
      <c r="X28" s="117"/>
    </row>
    <row r="29" spans="1:24" ht="15" x14ac:dyDescent="0.25">
      <c r="A29" s="403">
        <v>2027</v>
      </c>
      <c r="B29" s="423">
        <f>'Market Data'!$E$52*'Mkt Pen Veh-Mi'!B29</f>
        <v>0.63426580382123332</v>
      </c>
      <c r="C29" s="424">
        <f>'Market Data'!$E$52*'Mkt Pen Veh-Mi'!C29</f>
        <v>1.6715185496859478E-2</v>
      </c>
      <c r="D29" s="424">
        <f>'Market Data'!$E$52*'Mkt Pen Veh-Mi'!D29</f>
        <v>1.7448258421833743E-2</v>
      </c>
      <c r="E29" s="700">
        <f>'Market Data'!$E$52*'Mkt Pen Veh-Mi'!E29</f>
        <v>0</v>
      </c>
      <c r="F29" s="700">
        <f>'Market Data'!$E$52*'Mkt Pen Veh-Mi'!F29</f>
        <v>0</v>
      </c>
      <c r="G29" s="705">
        <f>'Market Data'!$E$52*'Mkt Pen Veh-Mi'!G29</f>
        <v>0</v>
      </c>
      <c r="H29" s="423">
        <f>'Market Data'!$O$52*'Mkt Pen Veh-Mi'!H29</f>
        <v>0.2298386597261213</v>
      </c>
      <c r="I29" s="424">
        <f>'Market Data'!$O$52*'Mkt Pen Veh-Mi'!I29</f>
        <v>6.9554275729210397E-3</v>
      </c>
      <c r="J29" s="424">
        <f>'Market Data'!$O$52*'Mkt Pen Veh-Mi'!J29</f>
        <v>5.0982576734527468E-3</v>
      </c>
      <c r="K29" s="700">
        <f>'Market Data'!$O$52*'Mkt Pen Veh-Mi'!K29</f>
        <v>0</v>
      </c>
      <c r="L29" s="700">
        <f>'Market Data'!$O$52*'Mkt Pen Veh-Mi'!L29</f>
        <v>0</v>
      </c>
      <c r="M29" s="705">
        <f>'Market Data'!$O$52*'Mkt Pen Veh-Mi'!M29</f>
        <v>0</v>
      </c>
      <c r="N29" s="423">
        <f>'Market Data'!$Y$52*'Mkt Pen Veh-Mi'!N29</f>
        <v>7.9443730397350767E-2</v>
      </c>
      <c r="O29" s="424">
        <f>'Market Data'!$Y$52*'Mkt Pen Veh-Mi'!O29</f>
        <v>6.0075275960790086E-3</v>
      </c>
      <c r="P29" s="424">
        <f>'Market Data'!$Y$52*'Mkt Pen Veh-Mi'!P29</f>
        <v>4.2271492941485392E-3</v>
      </c>
      <c r="Q29" s="700">
        <f>'Market Data'!$Y$52*'Mkt Pen Veh-Mi'!Q29</f>
        <v>0</v>
      </c>
      <c r="R29" s="700">
        <f>'Market Data'!$Y$52*'Mkt Pen Veh-Mi'!R29</f>
        <v>0</v>
      </c>
      <c r="S29" s="705">
        <f>'Market Data'!$Y$52*'Mkt Pen Veh-Mi'!S29</f>
        <v>0</v>
      </c>
      <c r="T29" s="423">
        <f t="shared" si="6"/>
        <v>0.94354819394470535</v>
      </c>
      <c r="U29" s="425">
        <f t="shared" si="8"/>
        <v>5.6451806055294561E-2</v>
      </c>
      <c r="X29" s="117"/>
    </row>
    <row r="30" spans="1:24" ht="15" x14ac:dyDescent="0.25">
      <c r="A30" s="403">
        <v>2028</v>
      </c>
      <c r="B30" s="423">
        <f>'Market Data'!$E$52*'Mkt Pen Veh-Mi'!B30</f>
        <v>0.51768109221699532</v>
      </c>
      <c r="C30" s="424">
        <f>'Market Data'!$E$52*'Mkt Pen Veh-Mi'!C30</f>
        <v>8.9390494545005902E-2</v>
      </c>
      <c r="D30" s="424">
        <f>'Market Data'!$E$52*'Mkt Pen Veh-Mi'!D30</f>
        <v>6.1357660977925367E-2</v>
      </c>
      <c r="E30" s="700">
        <f>'Market Data'!$E$52*'Mkt Pen Veh-Mi'!E30</f>
        <v>0</v>
      </c>
      <c r="F30" s="700">
        <f>'Market Data'!$E$52*'Mkt Pen Veh-Mi'!F30</f>
        <v>0</v>
      </c>
      <c r="G30" s="705">
        <f>'Market Data'!$E$52*'Mkt Pen Veh-Mi'!G30</f>
        <v>0</v>
      </c>
      <c r="H30" s="423">
        <f>'Market Data'!$O$52*'Mkt Pen Veh-Mi'!H30</f>
        <v>0.20788075371948547</v>
      </c>
      <c r="I30" s="424">
        <f>'Market Data'!$O$52*'Mkt Pen Veh-Mi'!I30</f>
        <v>1.956625753251727E-2</v>
      </c>
      <c r="J30" s="424">
        <f>'Market Data'!$O$52*'Mkt Pen Veh-Mi'!J30</f>
        <v>1.4445333720492346E-2</v>
      </c>
      <c r="K30" s="700">
        <f>'Market Data'!$O$52*'Mkt Pen Veh-Mi'!K30</f>
        <v>0</v>
      </c>
      <c r="L30" s="700">
        <f>'Market Data'!$O$52*'Mkt Pen Veh-Mi'!L30</f>
        <v>0</v>
      </c>
      <c r="M30" s="705">
        <f>'Market Data'!$O$52*'Mkt Pen Veh-Mi'!M30</f>
        <v>0</v>
      </c>
      <c r="N30" s="423">
        <f>'Market Data'!$Y$52*'Mkt Pen Veh-Mi'!N30</f>
        <v>7.2018575984585276E-2</v>
      </c>
      <c r="O30" s="424">
        <f>'Market Data'!$Y$52*'Mkt Pen Veh-Mi'!O30</f>
        <v>7.7461223110697587E-3</v>
      </c>
      <c r="P30" s="424">
        <f>'Market Data'!$Y$52*'Mkt Pen Veh-Mi'!P30</f>
        <v>9.9137055573699905E-3</v>
      </c>
      <c r="Q30" s="700">
        <f>'Market Data'!$Y$52*'Mkt Pen Veh-Mi'!Q30</f>
        <v>0</v>
      </c>
      <c r="R30" s="700">
        <f>'Market Data'!$Y$52*'Mkt Pen Veh-Mi'!R30</f>
        <v>3.4345532808182988E-9</v>
      </c>
      <c r="S30" s="705">
        <f>'Market Data'!$Y$52*'Mkt Pen Veh-Mi'!S30</f>
        <v>0</v>
      </c>
      <c r="T30" s="423">
        <f t="shared" si="6"/>
        <v>0.79758042192106604</v>
      </c>
      <c r="U30" s="425">
        <f t="shared" si="8"/>
        <v>0.20241957807893393</v>
      </c>
      <c r="X30" s="117"/>
    </row>
    <row r="31" spans="1:24" ht="15" x14ac:dyDescent="0.25">
      <c r="A31" s="403">
        <v>2029</v>
      </c>
      <c r="B31" s="423">
        <f>'Market Data'!$E$52*'Mkt Pen Veh-Mi'!B31</f>
        <v>0.37351858806184596</v>
      </c>
      <c r="C31" s="424">
        <f>'Market Data'!$E$52*'Mkt Pen Veh-Mi'!C31</f>
        <v>0.17214194156855706</v>
      </c>
      <c r="D31" s="424">
        <f>'Market Data'!$E$52*'Mkt Pen Veh-Mi'!D31</f>
        <v>0.12276871810952351</v>
      </c>
      <c r="E31" s="700">
        <f>'Market Data'!$E$52*'Mkt Pen Veh-Mi'!E31</f>
        <v>0</v>
      </c>
      <c r="F31" s="700">
        <f>'Market Data'!$E$52*'Mkt Pen Veh-Mi'!F31</f>
        <v>0</v>
      </c>
      <c r="G31" s="705">
        <f>'Market Data'!$E$52*'Mkt Pen Veh-Mi'!G31</f>
        <v>0</v>
      </c>
      <c r="H31" s="423">
        <f>'Market Data'!$O$52*'Mkt Pen Veh-Mi'!H31</f>
        <v>0.17217037713875627</v>
      </c>
      <c r="I31" s="424">
        <f>'Market Data'!$O$52*'Mkt Pen Veh-Mi'!I31</f>
        <v>3.9552753703087327E-2</v>
      </c>
      <c r="J31" s="424">
        <f>'Market Data'!$O$52*'Mkt Pen Veh-Mi'!J31</f>
        <v>3.0169214130651507E-2</v>
      </c>
      <c r="K31" s="700">
        <f>'Market Data'!$O$52*'Mkt Pen Veh-Mi'!K31</f>
        <v>0</v>
      </c>
      <c r="L31" s="700">
        <f>'Market Data'!$O$52*'Mkt Pen Veh-Mi'!L31</f>
        <v>0</v>
      </c>
      <c r="M31" s="705">
        <f>'Market Data'!$O$52*'Mkt Pen Veh-Mi'!M31</f>
        <v>0</v>
      </c>
      <c r="N31" s="423">
        <f>'Market Data'!$Y$52*'Mkt Pen Veh-Mi'!N31</f>
        <v>5.7736388867818692E-2</v>
      </c>
      <c r="O31" s="424">
        <f>'Market Data'!$Y$52*'Mkt Pen Veh-Mi'!O31</f>
        <v>7.574652856214433E-3</v>
      </c>
      <c r="P31" s="424">
        <f>'Market Data'!$Y$52*'Mkt Pen Veh-Mi'!P31</f>
        <v>2.4367290850972615E-2</v>
      </c>
      <c r="Q31" s="700">
        <f>'Market Data'!$Y$52*'Mkt Pen Veh-Mi'!Q31</f>
        <v>0</v>
      </c>
      <c r="R31" s="700">
        <f>'Market Data'!$Y$52*'Mkt Pen Veh-Mi'!R31</f>
        <v>7.4712572570379054E-8</v>
      </c>
      <c r="S31" s="705">
        <f>'Market Data'!$Y$52*'Mkt Pen Veh-Mi'!S31</f>
        <v>0</v>
      </c>
      <c r="T31" s="423">
        <f t="shared" si="6"/>
        <v>0.6034253540684209</v>
      </c>
      <c r="U31" s="425">
        <f t="shared" si="8"/>
        <v>0.39657464593157904</v>
      </c>
      <c r="X31" s="117"/>
    </row>
    <row r="32" spans="1:24" ht="15" x14ac:dyDescent="0.25">
      <c r="A32" s="402">
        <v>2030</v>
      </c>
      <c r="B32" s="426">
        <f>'Market Data'!$E$52*'Mkt Pen Veh-Mi'!B32</f>
        <v>0.21340845196655531</v>
      </c>
      <c r="C32" s="427">
        <f>'Market Data'!$E$52*'Mkt Pen Veh-Mi'!C32</f>
        <v>0.25975702195390943</v>
      </c>
      <c r="D32" s="427">
        <f>'Market Data'!$E$52*'Mkt Pen Veh-Mi'!D32</f>
        <v>0.19526377381946175</v>
      </c>
      <c r="E32" s="701">
        <f>'Market Data'!$E$52*'Mkt Pen Veh-Mi'!E32</f>
        <v>0</v>
      </c>
      <c r="F32" s="701">
        <f>'Market Data'!$E$52*'Mkt Pen Veh-Mi'!F32</f>
        <v>0</v>
      </c>
      <c r="G32" s="706">
        <f>'Market Data'!$E$52*'Mkt Pen Veh-Mi'!G32</f>
        <v>0</v>
      </c>
      <c r="H32" s="426">
        <f>'Market Data'!$O$52*'Mkt Pen Veh-Mi'!H32</f>
        <v>0.1267049364846507</v>
      </c>
      <c r="I32" s="427">
        <f>'Market Data'!$O$52*'Mkt Pen Veh-Mi'!I32</f>
        <v>6.4815949218794244E-2</v>
      </c>
      <c r="J32" s="427">
        <f>'Market Data'!$O$52*'Mkt Pen Veh-Mi'!J32</f>
        <v>5.037145926905013E-2</v>
      </c>
      <c r="K32" s="701">
        <f>'Market Data'!$O$52*'Mkt Pen Veh-Mi'!K32</f>
        <v>0</v>
      </c>
      <c r="L32" s="701">
        <f>'Market Data'!$O$52*'Mkt Pen Veh-Mi'!L32</f>
        <v>0</v>
      </c>
      <c r="M32" s="706">
        <f>'Market Data'!$O$52*'Mkt Pen Veh-Mi'!M32</f>
        <v>0</v>
      </c>
      <c r="N32" s="426">
        <f>'Market Data'!$Y$52*'Mkt Pen Veh-Mi'!N32</f>
        <v>4.3758097322910056E-2</v>
      </c>
      <c r="O32" s="427">
        <f>'Market Data'!$Y$52*'Mkt Pen Veh-Mi'!O32</f>
        <v>4.5370126686357336E-3</v>
      </c>
      <c r="P32" s="427">
        <f>'Market Data'!$Y$52*'Mkt Pen Veh-Mi'!P32</f>
        <v>4.1381991253331342E-2</v>
      </c>
      <c r="Q32" s="701">
        <f>'Market Data'!$Y$52*'Mkt Pen Veh-Mi'!Q32</f>
        <v>0</v>
      </c>
      <c r="R32" s="701">
        <f>'Market Data'!$Y$52*'Mkt Pen Veh-Mi'!R32</f>
        <v>1.3060427011761632E-6</v>
      </c>
      <c r="S32" s="706">
        <f>'Market Data'!$Y$52*'Mkt Pen Veh-Mi'!S32</f>
        <v>0</v>
      </c>
      <c r="T32" s="426">
        <f t="shared" si="6"/>
        <v>0.38387148577411606</v>
      </c>
      <c r="U32" s="428">
        <f t="shared" si="8"/>
        <v>0.61612851422588377</v>
      </c>
      <c r="X32" s="117"/>
    </row>
    <row r="33" spans="1:21" ht="15" x14ac:dyDescent="0.25">
      <c r="A33" s="429">
        <v>2031</v>
      </c>
      <c r="B33" s="430">
        <f>'Market Data'!$E$52*'Mkt Pen Veh-Mi'!B33</f>
        <v>0.10892549832981288</v>
      </c>
      <c r="C33" s="431">
        <f>'Market Data'!$E$52*'Mkt Pen Veh-Mi'!C33</f>
        <v>0.3136387332687694</v>
      </c>
      <c r="D33" s="431">
        <f>'Market Data'!$E$52*'Mkt Pen Veh-Mi'!D33</f>
        <v>0.24586501614134423</v>
      </c>
      <c r="E33" s="702">
        <f>'Market Data'!$E$52*'Mkt Pen Veh-Mi'!E33</f>
        <v>0</v>
      </c>
      <c r="F33" s="702">
        <f>'Market Data'!$E$52*'Mkt Pen Veh-Mi'!F33</f>
        <v>0</v>
      </c>
      <c r="G33" s="707">
        <f>'Market Data'!$E$52*'Mkt Pen Veh-Mi'!G33</f>
        <v>0</v>
      </c>
      <c r="H33" s="430">
        <f>'Market Data'!$O$52*'Mkt Pen Veh-Mi'!H33</f>
        <v>9.1636023496550451E-2</v>
      </c>
      <c r="I33" s="431">
        <f>'Market Data'!$O$52*'Mkt Pen Veh-Mi'!I33</f>
        <v>8.3059161048132782E-2</v>
      </c>
      <c r="J33" s="431">
        <f>'Market Data'!$O$52*'Mkt Pen Veh-Mi'!J33</f>
        <v>6.7197160427811861E-2</v>
      </c>
      <c r="K33" s="702">
        <f>'Market Data'!$O$52*'Mkt Pen Veh-Mi'!K33</f>
        <v>0</v>
      </c>
      <c r="L33" s="702">
        <f>'Market Data'!$O$52*'Mkt Pen Veh-Mi'!L33</f>
        <v>0</v>
      </c>
      <c r="M33" s="707">
        <f>'Market Data'!$O$52*'Mkt Pen Veh-Mi'!M33</f>
        <v>0</v>
      </c>
      <c r="N33" s="430">
        <f>'Market Data'!$Y$52*'Mkt Pen Veh-Mi'!N33</f>
        <v>3.5245800793278874E-2</v>
      </c>
      <c r="O33" s="431">
        <f>'Market Data'!$Y$52*'Mkt Pen Veh-Mi'!O33</f>
        <v>6.4503357305858804E-4</v>
      </c>
      <c r="P33" s="431">
        <f>'Market Data'!$Y$52*'Mkt Pen Veh-Mi'!P33</f>
        <v>5.3779958801693457E-2</v>
      </c>
      <c r="Q33" s="702">
        <f>'Market Data'!$Y$52*'Mkt Pen Veh-Mi'!Q33</f>
        <v>0</v>
      </c>
      <c r="R33" s="702">
        <f>'Market Data'!$Y$52*'Mkt Pen Veh-Mi'!R33</f>
        <v>7.6141195473914558E-6</v>
      </c>
      <c r="S33" s="707">
        <f>'Market Data'!$Y$52*'Mkt Pen Veh-Mi'!S33</f>
        <v>0</v>
      </c>
      <c r="T33" s="433">
        <f t="shared" si="6"/>
        <v>0.23580732261964221</v>
      </c>
      <c r="U33" s="434">
        <f t="shared" si="8"/>
        <v>0.76419267738035779</v>
      </c>
    </row>
    <row r="34" spans="1:21" ht="15" x14ac:dyDescent="0.25">
      <c r="A34" s="403">
        <v>2032</v>
      </c>
      <c r="B34" s="423">
        <f>'Market Data'!$E$52*'Mkt Pen Veh-Mi'!B34</f>
        <v>5.6750051404082159E-2</v>
      </c>
      <c r="C34" s="424">
        <f>'Market Data'!$E$52*'Mkt Pen Veh-Mi'!C34</f>
        <v>0.33944060399864262</v>
      </c>
      <c r="D34" s="424">
        <f>'Market Data'!$E$52*'Mkt Pen Veh-Mi'!D34</f>
        <v>0.27223859233720171</v>
      </c>
      <c r="E34" s="700">
        <f>'Market Data'!$E$52*'Mkt Pen Veh-Mi'!E34</f>
        <v>0</v>
      </c>
      <c r="F34" s="700">
        <f>'Market Data'!$E$52*'Mkt Pen Veh-Mi'!F34</f>
        <v>0</v>
      </c>
      <c r="G34" s="705">
        <f>'Market Data'!$E$52*'Mkt Pen Veh-Mi'!G34</f>
        <v>0</v>
      </c>
      <c r="H34" s="423">
        <f>'Market Data'!$O$52*'Mkt Pen Veh-Mi'!H34</f>
        <v>7.2273425700256591E-2</v>
      </c>
      <c r="I34" s="424">
        <f>'Market Data'!$O$52*'Mkt Pen Veh-Mi'!I34</f>
        <v>9.3306751794425588E-2</v>
      </c>
      <c r="J34" s="424">
        <f>'Market Data'!$O$52*'Mkt Pen Veh-Mi'!J34</f>
        <v>7.6312167477812901E-2</v>
      </c>
      <c r="K34" s="700">
        <f>'Market Data'!$O$52*'Mkt Pen Veh-Mi'!K34</f>
        <v>0</v>
      </c>
      <c r="L34" s="700">
        <f>'Market Data'!$O$52*'Mkt Pen Veh-Mi'!L34</f>
        <v>0</v>
      </c>
      <c r="M34" s="705">
        <f>'Market Data'!$O$52*'Mkt Pen Veh-Mi'!M34</f>
        <v>0</v>
      </c>
      <c r="N34" s="423">
        <f>'Market Data'!$Y$52*'Mkt Pen Veh-Mi'!N34</f>
        <v>3.066295411677716E-2</v>
      </c>
      <c r="O34" s="424">
        <f>'Market Data'!$Y$52*'Mkt Pen Veh-Mi'!O34</f>
        <v>1.0464937066894085E-3</v>
      </c>
      <c r="P34" s="424">
        <f>'Market Data'!$Y$52*'Mkt Pen Veh-Mi'!P34</f>
        <v>5.7942185389941503E-2</v>
      </c>
      <c r="Q34" s="700">
        <f>'Market Data'!$Y$52*'Mkt Pen Veh-Mi'!Q34</f>
        <v>0</v>
      </c>
      <c r="R34" s="700">
        <f>'Market Data'!$Y$52*'Mkt Pen Veh-Mi'!R34</f>
        <v>2.6774074170236503E-5</v>
      </c>
      <c r="S34" s="705">
        <f>'Market Data'!$Y$52*'Mkt Pen Veh-Mi'!S34</f>
        <v>0</v>
      </c>
      <c r="T34" s="423">
        <f t="shared" si="6"/>
        <v>0.15968643122111592</v>
      </c>
      <c r="U34" s="425">
        <f t="shared" si="8"/>
        <v>0.84031356877888397</v>
      </c>
    </row>
    <row r="35" spans="1:21" ht="15" x14ac:dyDescent="0.25">
      <c r="A35" s="403">
        <v>2033</v>
      </c>
      <c r="B35" s="423">
        <f>'Market Data'!$E$52*'Mkt Pen Veh-Mi'!B35</f>
        <v>3.5547104906432994E-2</v>
      </c>
      <c r="C35" s="424">
        <f>'Market Data'!$E$52*'Mkt Pen Veh-Mi'!C35</f>
        <v>0.34683545712224034</v>
      </c>
      <c r="D35" s="424">
        <f>'Market Data'!$E$52*'Mkt Pen Veh-Mi'!D35</f>
        <v>0.28604668571125319</v>
      </c>
      <c r="E35" s="700">
        <f>'Market Data'!$E$52*'Mkt Pen Veh-Mi'!E35</f>
        <v>0</v>
      </c>
      <c r="F35" s="700">
        <f>'Market Data'!$E$52*'Mkt Pen Veh-Mi'!F35</f>
        <v>0</v>
      </c>
      <c r="G35" s="705">
        <f>'Market Data'!$E$52*'Mkt Pen Veh-Mi'!G35</f>
        <v>0</v>
      </c>
      <c r="H35" s="423">
        <f>'Market Data'!$O$52*'Mkt Pen Veh-Mi'!H35</f>
        <v>6.3013878462938128E-2</v>
      </c>
      <c r="I35" s="424">
        <f>'Market Data'!$O$52*'Mkt Pen Veh-Mi'!I35</f>
        <v>9.7971253878805106E-2</v>
      </c>
      <c r="J35" s="424">
        <f>'Market Data'!$O$52*'Mkt Pen Veh-Mi'!J35</f>
        <v>8.0907212630751846E-2</v>
      </c>
      <c r="K35" s="700">
        <f>'Market Data'!$O$52*'Mkt Pen Veh-Mi'!K35</f>
        <v>0</v>
      </c>
      <c r="L35" s="700">
        <f>'Market Data'!$O$52*'Mkt Pen Veh-Mi'!L35</f>
        <v>0</v>
      </c>
      <c r="M35" s="705">
        <f>'Market Data'!$O$52*'Mkt Pen Veh-Mi'!M35</f>
        <v>0</v>
      </c>
      <c r="N35" s="423">
        <f>'Market Data'!$Y$52*'Mkt Pen Veh-Mi'!N35</f>
        <v>2.8729086765625071E-2</v>
      </c>
      <c r="O35" s="424">
        <f>'Market Data'!$Y$52*'Mkt Pen Veh-Mi'!O35</f>
        <v>1.0196237246489351E-3</v>
      </c>
      <c r="P35" s="424">
        <f>'Market Data'!$Y$52*'Mkt Pen Veh-Mi'!P35</f>
        <v>5.9856080208443949E-2</v>
      </c>
      <c r="Q35" s="700">
        <f>'Market Data'!$Y$52*'Mkt Pen Veh-Mi'!Q35</f>
        <v>0</v>
      </c>
      <c r="R35" s="700">
        <f>'Market Data'!$Y$52*'Mkt Pen Veh-Mi'!R35</f>
        <v>7.3616588860347048E-5</v>
      </c>
      <c r="S35" s="705">
        <f>'Market Data'!$Y$52*'Mkt Pen Veh-Mi'!S35</f>
        <v>0</v>
      </c>
      <c r="T35" s="423">
        <f t="shared" si="6"/>
        <v>0.12729007013499619</v>
      </c>
      <c r="U35" s="425">
        <f t="shared" si="8"/>
        <v>0.87270992986500373</v>
      </c>
    </row>
    <row r="36" spans="1:21" ht="15" x14ac:dyDescent="0.25">
      <c r="A36" s="403">
        <v>2034</v>
      </c>
      <c r="B36" s="423">
        <f>'Market Data'!$E$52*'Mkt Pen Veh-Mi'!B36</f>
        <v>2.6597589321850107E-2</v>
      </c>
      <c r="C36" s="424">
        <f>'Market Data'!$E$52*'Mkt Pen Veh-Mi'!C36</f>
        <v>0.35179531265020558</v>
      </c>
      <c r="D36" s="424">
        <f>'Market Data'!$E$52*'Mkt Pen Veh-Mi'!D36</f>
        <v>0.2900363457678708</v>
      </c>
      <c r="E36" s="700">
        <f>'Market Data'!$E$52*'Mkt Pen Veh-Mi'!E36</f>
        <v>0</v>
      </c>
      <c r="F36" s="700">
        <f>'Market Data'!$E$52*'Mkt Pen Veh-Mi'!F36</f>
        <v>0</v>
      </c>
      <c r="G36" s="705">
        <f>'Market Data'!$E$52*'Mkt Pen Veh-Mi'!G36</f>
        <v>0</v>
      </c>
      <c r="H36" s="423">
        <f>'Market Data'!$O$52*'Mkt Pen Veh-Mi'!H36</f>
        <v>5.7604556344548467E-2</v>
      </c>
      <c r="I36" s="424">
        <f>'Market Data'!$O$52*'Mkt Pen Veh-Mi'!I36</f>
        <v>0.1011738925823356</v>
      </c>
      <c r="J36" s="424">
        <f>'Market Data'!$O$52*'Mkt Pen Veh-Mi'!J36</f>
        <v>8.3113896045611035E-2</v>
      </c>
      <c r="K36" s="700">
        <f>'Market Data'!$O$52*'Mkt Pen Veh-Mi'!K36</f>
        <v>0</v>
      </c>
      <c r="L36" s="700">
        <f>'Market Data'!$O$52*'Mkt Pen Veh-Mi'!L36</f>
        <v>0</v>
      </c>
      <c r="M36" s="705">
        <f>'Market Data'!$O$52*'Mkt Pen Veh-Mi'!M36</f>
        <v>0</v>
      </c>
      <c r="N36" s="423">
        <f>'Market Data'!$Y$52*'Mkt Pen Veh-Mi'!N36</f>
        <v>2.8030786419484262E-2</v>
      </c>
      <c r="O36" s="424">
        <f>'Market Data'!$Y$52*'Mkt Pen Veh-Mi'!O36</f>
        <v>7.0986651048257914E-4</v>
      </c>
      <c r="P36" s="424">
        <f>'Market Data'!$Y$52*'Mkt Pen Veh-Mi'!P36</f>
        <v>6.0807117488389024E-2</v>
      </c>
      <c r="Q36" s="700">
        <f>'Market Data'!$Y$52*'Mkt Pen Veh-Mi'!Q36</f>
        <v>0</v>
      </c>
      <c r="R36" s="700">
        <f>'Market Data'!$Y$52*'Mkt Pen Veh-Mi'!R36</f>
        <v>1.3063686922244026E-4</v>
      </c>
      <c r="S36" s="705">
        <f>'Market Data'!$Y$52*'Mkt Pen Veh-Mi'!S36</f>
        <v>0</v>
      </c>
      <c r="T36" s="423">
        <f t="shared" si="6"/>
        <v>0.11223293208588284</v>
      </c>
      <c r="U36" s="425">
        <f t="shared" si="8"/>
        <v>0.88776706791411697</v>
      </c>
    </row>
    <row r="37" spans="1:21" ht="15" x14ac:dyDescent="0.25">
      <c r="A37" s="402">
        <v>2035</v>
      </c>
      <c r="B37" s="426">
        <f>'Market Data'!$E$52*'Mkt Pen Veh-Mi'!B37</f>
        <v>2.3587317919917996E-2</v>
      </c>
      <c r="C37" s="427">
        <f>'Market Data'!$E$52*'Mkt Pen Veh-Mi'!C37</f>
        <v>0.35237628371527963</v>
      </c>
      <c r="D37" s="427">
        <f>'Market Data'!$E$52*'Mkt Pen Veh-Mi'!D37</f>
        <v>0.29246564610472892</v>
      </c>
      <c r="E37" s="701">
        <f>'Market Data'!$E$52*'Mkt Pen Veh-Mi'!E37</f>
        <v>0</v>
      </c>
      <c r="F37" s="701">
        <f>'Market Data'!$E$52*'Mkt Pen Veh-Mi'!F37</f>
        <v>0</v>
      </c>
      <c r="G37" s="706">
        <f>'Market Data'!$E$52*'Mkt Pen Veh-Mi'!G37</f>
        <v>0</v>
      </c>
      <c r="H37" s="426">
        <f>'Market Data'!$O$52*'Mkt Pen Veh-Mi'!H37</f>
        <v>5.5477564258806109E-2</v>
      </c>
      <c r="I37" s="427">
        <f>'Market Data'!$O$52*'Mkt Pen Veh-Mi'!I37</f>
        <v>0.10170448842896275</v>
      </c>
      <c r="J37" s="427">
        <f>'Market Data'!$O$52*'Mkt Pen Veh-Mi'!J37</f>
        <v>8.4710292284726235E-2</v>
      </c>
      <c r="K37" s="701">
        <f>'Market Data'!$O$52*'Mkt Pen Veh-Mi'!K37</f>
        <v>0</v>
      </c>
      <c r="L37" s="701">
        <f>'Market Data'!$O$52*'Mkt Pen Veh-Mi'!L37</f>
        <v>0</v>
      </c>
      <c r="M37" s="706">
        <f>'Market Data'!$O$52*'Mkt Pen Veh-Mi'!M37</f>
        <v>0</v>
      </c>
      <c r="N37" s="426">
        <f>'Market Data'!$Y$52*'Mkt Pen Veh-Mi'!N37</f>
        <v>2.7559445090939459E-2</v>
      </c>
      <c r="O37" s="427">
        <f>'Market Data'!$Y$52*'Mkt Pen Veh-Mi'!O37</f>
        <v>4.0274152830406561E-4</v>
      </c>
      <c r="P37" s="427">
        <f>'Market Data'!$Y$52*'Mkt Pen Veh-Mi'!P37</f>
        <v>6.1497580206340309E-2</v>
      </c>
      <c r="Q37" s="701">
        <f>'Market Data'!$Y$52*'Mkt Pen Veh-Mi'!Q37</f>
        <v>0</v>
      </c>
      <c r="R37" s="701">
        <f>'Market Data'!$Y$52*'Mkt Pen Veh-Mi'!R37</f>
        <v>2.1864046199446884E-4</v>
      </c>
      <c r="S37" s="706">
        <f>'Market Data'!$Y$52*'Mkt Pen Veh-Mi'!S37</f>
        <v>0</v>
      </c>
      <c r="T37" s="426">
        <f t="shared" si="6"/>
        <v>0.10662432726966356</v>
      </c>
      <c r="U37" s="428">
        <f t="shared" si="8"/>
        <v>0.89337567273033636</v>
      </c>
    </row>
    <row r="38" spans="1:21" ht="15" x14ac:dyDescent="0.25">
      <c r="A38" s="429">
        <v>2036</v>
      </c>
      <c r="B38" s="430">
        <f>'Market Data'!$E$52*'Mkt Pen Veh-Mi'!B38</f>
        <v>1.9202473137391245E-2</v>
      </c>
      <c r="C38" s="431">
        <f>'Market Data'!$E$52*'Mkt Pen Veh-Mi'!C38</f>
        <v>0.35051056080095777</v>
      </c>
      <c r="D38" s="431">
        <f>'Market Data'!$E$52*'Mkt Pen Veh-Mi'!D38</f>
        <v>0.29871621380157753</v>
      </c>
      <c r="E38" s="702">
        <f>'Market Data'!$E$52*'Mkt Pen Veh-Mi'!E38</f>
        <v>0</v>
      </c>
      <c r="F38" s="702">
        <f>'Market Data'!$E$52*'Mkt Pen Veh-Mi'!F38</f>
        <v>0</v>
      </c>
      <c r="G38" s="707">
        <f>'Market Data'!$E$52*'Mkt Pen Veh-Mi'!G38</f>
        <v>0</v>
      </c>
      <c r="H38" s="430">
        <f>'Market Data'!$O$52*'Mkt Pen Veh-Mi'!H38</f>
        <v>5.2141235248932313E-2</v>
      </c>
      <c r="I38" s="431">
        <f>'Market Data'!$O$52*'Mkt Pen Veh-Mi'!I38</f>
        <v>0.10272218224122732</v>
      </c>
      <c r="J38" s="431">
        <f>'Market Data'!$O$52*'Mkt Pen Veh-Mi'!J38</f>
        <v>8.7028927482335455E-2</v>
      </c>
      <c r="K38" s="702">
        <f>'Market Data'!$O$52*'Mkt Pen Veh-Mi'!K38</f>
        <v>0</v>
      </c>
      <c r="L38" s="702">
        <f>'Market Data'!$O$52*'Mkt Pen Veh-Mi'!L38</f>
        <v>0</v>
      </c>
      <c r="M38" s="707">
        <f>'Market Data'!$O$52*'Mkt Pen Veh-Mi'!M38</f>
        <v>0</v>
      </c>
      <c r="N38" s="430">
        <f>'Market Data'!$Y$52*'Mkt Pen Veh-Mi'!N38</f>
        <v>2.5824996306711694E-2</v>
      </c>
      <c r="O38" s="431">
        <f>'Market Data'!$Y$52*'Mkt Pen Veh-Mi'!O38</f>
        <v>1.8769856603841491E-3</v>
      </c>
      <c r="P38" s="431">
        <f>'Market Data'!$Y$52*'Mkt Pen Veh-Mi'!P38</f>
        <v>6.167687963824043E-2</v>
      </c>
      <c r="Q38" s="702">
        <f>'Market Data'!$Y$52*'Mkt Pen Veh-Mi'!Q38</f>
        <v>0</v>
      </c>
      <c r="R38" s="702">
        <f>'Market Data'!$Y$52*'Mkt Pen Veh-Mi'!R38</f>
        <v>2.9954568224203643E-4</v>
      </c>
      <c r="S38" s="707">
        <f>'Market Data'!$Y$52*'Mkt Pen Veh-Mi'!S38</f>
        <v>0</v>
      </c>
      <c r="T38" s="433">
        <f t="shared" si="6"/>
        <v>9.7168704693035249E-2</v>
      </c>
      <c r="U38" s="434">
        <f t="shared" si="8"/>
        <v>0.90283129530696471</v>
      </c>
    </row>
    <row r="39" spans="1:21" ht="15" x14ac:dyDescent="0.25">
      <c r="A39" s="403">
        <v>2037</v>
      </c>
      <c r="B39" s="423">
        <f>'Market Data'!$E$52*'Mkt Pen Veh-Mi'!B39</f>
        <v>1.8790014182565595E-2</v>
      </c>
      <c r="C39" s="424">
        <f>'Market Data'!$E$52*'Mkt Pen Veh-Mi'!C39</f>
        <v>0.34847064469008099</v>
      </c>
      <c r="D39" s="424">
        <f>'Market Data'!$E$52*'Mkt Pen Veh-Mi'!D39</f>
        <v>0.30116858886727993</v>
      </c>
      <c r="E39" s="700">
        <f>'Market Data'!$E$52*'Mkt Pen Veh-Mi'!E39</f>
        <v>0</v>
      </c>
      <c r="F39" s="700">
        <f>'Market Data'!$E$52*'Mkt Pen Veh-Mi'!F39</f>
        <v>0</v>
      </c>
      <c r="G39" s="705">
        <f>'Market Data'!$E$52*'Mkt Pen Veh-Mi'!G39</f>
        <v>0</v>
      </c>
      <c r="H39" s="423">
        <f>'Market Data'!$O$52*'Mkt Pen Veh-Mi'!H39</f>
        <v>5.0099058408493762E-2</v>
      </c>
      <c r="I39" s="424">
        <f>'Market Data'!$O$52*'Mkt Pen Veh-Mi'!I39</f>
        <v>0.1036601459265422</v>
      </c>
      <c r="J39" s="424">
        <f>'Market Data'!$O$52*'Mkt Pen Veh-Mi'!J39</f>
        <v>8.8133140637459112E-2</v>
      </c>
      <c r="K39" s="700">
        <f>'Market Data'!$O$52*'Mkt Pen Veh-Mi'!K39</f>
        <v>0</v>
      </c>
      <c r="L39" s="700">
        <f>'Market Data'!$O$52*'Mkt Pen Veh-Mi'!L39</f>
        <v>0</v>
      </c>
      <c r="M39" s="705">
        <f>'Market Data'!$O$52*'Mkt Pen Veh-Mi'!M39</f>
        <v>0</v>
      </c>
      <c r="N39" s="423">
        <f>'Market Data'!$Y$52*'Mkt Pen Veh-Mi'!N39</f>
        <v>2.4167683605303331E-2</v>
      </c>
      <c r="O39" s="424">
        <f>'Market Data'!$Y$52*'Mkt Pen Veh-Mi'!O39</f>
        <v>3.0588216299609425E-3</v>
      </c>
      <c r="P39" s="424">
        <f>'Market Data'!$Y$52*'Mkt Pen Veh-Mi'!P39</f>
        <v>6.2080532825925759E-2</v>
      </c>
      <c r="Q39" s="700">
        <f>'Market Data'!$Y$52*'Mkt Pen Veh-Mi'!Q39</f>
        <v>0</v>
      </c>
      <c r="R39" s="700">
        <f>'Market Data'!$Y$52*'Mkt Pen Veh-Mi'!R39</f>
        <v>3.7136922638827545E-4</v>
      </c>
      <c r="S39" s="705">
        <f>'Market Data'!$Y$52*'Mkt Pen Veh-Mi'!S39</f>
        <v>0</v>
      </c>
      <c r="T39" s="423">
        <f t="shared" si="6"/>
        <v>9.3056756196362694E-2</v>
      </c>
      <c r="U39" s="425">
        <f t="shared" si="8"/>
        <v>0.90694324380363711</v>
      </c>
    </row>
    <row r="40" spans="1:21" ht="15" x14ac:dyDescent="0.25">
      <c r="A40" s="403">
        <v>2038</v>
      </c>
      <c r="B40" s="423">
        <f>'Market Data'!$E$52*'Mkt Pen Veh-Mi'!B40</f>
        <v>1.8714496361517501E-2</v>
      </c>
      <c r="C40" s="424">
        <f>'Market Data'!$E$52*'Mkt Pen Veh-Mi'!C40</f>
        <v>0.34486712384807627</v>
      </c>
      <c r="D40" s="424">
        <f>'Market Data'!$E$52*'Mkt Pen Veh-Mi'!D40</f>
        <v>0.30484762753033279</v>
      </c>
      <c r="E40" s="700">
        <f>'Market Data'!$E$52*'Mkt Pen Veh-Mi'!E40</f>
        <v>0</v>
      </c>
      <c r="F40" s="700">
        <f>'Market Data'!$E$52*'Mkt Pen Veh-Mi'!F40</f>
        <v>0</v>
      </c>
      <c r="G40" s="705">
        <f>'Market Data'!$E$52*'Mkt Pen Veh-Mi'!G40</f>
        <v>0</v>
      </c>
      <c r="H40" s="423">
        <f>'Market Data'!$O$52*'Mkt Pen Veh-Mi'!H40</f>
        <v>4.7712391276403615E-2</v>
      </c>
      <c r="I40" s="424">
        <f>'Market Data'!$O$52*'Mkt Pen Veh-Mi'!I40</f>
        <v>0.10400288386311263</v>
      </c>
      <c r="J40" s="424">
        <f>'Market Data'!$O$52*'Mkt Pen Veh-Mi'!J40</f>
        <v>9.0177069832978837E-2</v>
      </c>
      <c r="K40" s="700">
        <f>'Market Data'!$O$52*'Mkt Pen Veh-Mi'!K40</f>
        <v>0</v>
      </c>
      <c r="L40" s="700">
        <f>'Market Data'!$O$52*'Mkt Pen Veh-Mi'!L40</f>
        <v>0</v>
      </c>
      <c r="M40" s="705">
        <f>'Market Data'!$O$52*'Mkt Pen Veh-Mi'!M40</f>
        <v>0</v>
      </c>
      <c r="N40" s="423">
        <f>'Market Data'!$Y$52*'Mkt Pen Veh-Mi'!N40</f>
        <v>2.2910131813151182E-2</v>
      </c>
      <c r="O40" s="424">
        <f>'Market Data'!$Y$52*'Mkt Pen Veh-Mi'!O40</f>
        <v>5.346824514592596E-3</v>
      </c>
      <c r="P40" s="424">
        <f>'Market Data'!$Y$52*'Mkt Pen Veh-Mi'!P40</f>
        <v>6.0943092966482676E-2</v>
      </c>
      <c r="Q40" s="700">
        <f>'Market Data'!$Y$52*'Mkt Pen Veh-Mi'!Q40</f>
        <v>0</v>
      </c>
      <c r="R40" s="700">
        <f>'Market Data'!$Y$52*'Mkt Pen Veh-Mi'!R40</f>
        <v>4.783579933518481E-4</v>
      </c>
      <c r="S40" s="705">
        <f>'Market Data'!$Y$52*'Mkt Pen Veh-Mi'!S40</f>
        <v>0</v>
      </c>
      <c r="T40" s="423">
        <f t="shared" si="6"/>
        <v>8.9337019451072294E-2</v>
      </c>
      <c r="U40" s="425">
        <f t="shared" si="8"/>
        <v>0.91066298054892758</v>
      </c>
    </row>
    <row r="41" spans="1:21" ht="15" x14ac:dyDescent="0.25">
      <c r="A41" s="403">
        <v>2039</v>
      </c>
      <c r="B41" s="423">
        <f>'Market Data'!$E$52*'Mkt Pen Veh-Mi'!B41</f>
        <v>1.6871012381493244E-2</v>
      </c>
      <c r="C41" s="424">
        <f>'Market Data'!$E$52*'Mkt Pen Veh-Mi'!C41</f>
        <v>0.34180816627016408</v>
      </c>
      <c r="D41" s="424">
        <f>'Market Data'!$E$52*'Mkt Pen Veh-Mi'!D41</f>
        <v>0.30975006908826919</v>
      </c>
      <c r="E41" s="700">
        <f>'Market Data'!$E$52*'Mkt Pen Veh-Mi'!E41</f>
        <v>0</v>
      </c>
      <c r="F41" s="700">
        <f>'Market Data'!$E$52*'Mkt Pen Veh-Mi'!F41</f>
        <v>0</v>
      </c>
      <c r="G41" s="705">
        <f>'Market Data'!$E$52*'Mkt Pen Veh-Mi'!G41</f>
        <v>0</v>
      </c>
      <c r="H41" s="423">
        <f>'Market Data'!$O$52*'Mkt Pen Veh-Mi'!H41</f>
        <v>4.5158820062664855E-2</v>
      </c>
      <c r="I41" s="424">
        <f>'Market Data'!$O$52*'Mkt Pen Veh-Mi'!I41</f>
        <v>0.10450580834650869</v>
      </c>
      <c r="J41" s="424">
        <f>'Market Data'!$O$52*'Mkt Pen Veh-Mi'!J41</f>
        <v>9.2198865685763229E-2</v>
      </c>
      <c r="K41" s="700">
        <f>'Market Data'!$O$52*'Mkt Pen Veh-Mi'!K41</f>
        <v>0</v>
      </c>
      <c r="L41" s="700">
        <f>'Market Data'!$O$52*'Mkt Pen Veh-Mi'!L41</f>
        <v>2.8850877558305706E-5</v>
      </c>
      <c r="M41" s="705">
        <f>'Market Data'!$O$52*'Mkt Pen Veh-Mi'!M41</f>
        <v>0</v>
      </c>
      <c r="N41" s="423">
        <f>'Market Data'!$Y$52*'Mkt Pen Veh-Mi'!N41</f>
        <v>2.0012649940421609E-2</v>
      </c>
      <c r="O41" s="424">
        <f>'Market Data'!$Y$52*'Mkt Pen Veh-Mi'!O41</f>
        <v>9.1732483615172833E-3</v>
      </c>
      <c r="P41" s="424">
        <f>'Market Data'!$Y$52*'Mkt Pen Veh-Mi'!P41</f>
        <v>5.9845542509952603E-2</v>
      </c>
      <c r="Q41" s="700">
        <f>'Market Data'!$Y$52*'Mkt Pen Veh-Mi'!Q41</f>
        <v>0</v>
      </c>
      <c r="R41" s="700">
        <f>'Market Data'!$Y$52*'Mkt Pen Veh-Mi'!R41</f>
        <v>6.4696647568681927E-4</v>
      </c>
      <c r="S41" s="705">
        <f>'Market Data'!$Y$52*'Mkt Pen Veh-Mi'!S41</f>
        <v>0</v>
      </c>
      <c r="T41" s="423">
        <f t="shared" si="6"/>
        <v>8.2042482384579701E-2</v>
      </c>
      <c r="U41" s="425">
        <f t="shared" si="8"/>
        <v>0.91795751761542022</v>
      </c>
    </row>
    <row r="42" spans="1:21" ht="15" x14ac:dyDescent="0.25">
      <c r="A42" s="402">
        <v>2040</v>
      </c>
      <c r="B42" s="426">
        <f>'Market Data'!$E$52*'Mkt Pen Veh-Mi'!B42</f>
        <v>1.6682382836860819E-2</v>
      </c>
      <c r="C42" s="427">
        <f>'Market Data'!$E$52*'Mkt Pen Veh-Mi'!C42</f>
        <v>0.33784588069369725</v>
      </c>
      <c r="D42" s="427">
        <f>'Market Data'!$E$52*'Mkt Pen Veh-Mi'!D42</f>
        <v>0.31390098420936846</v>
      </c>
      <c r="E42" s="701">
        <f>'Market Data'!$E$52*'Mkt Pen Veh-Mi'!E42</f>
        <v>0</v>
      </c>
      <c r="F42" s="701">
        <f>'Market Data'!$E$52*'Mkt Pen Veh-Mi'!F42</f>
        <v>0</v>
      </c>
      <c r="G42" s="706">
        <f>'Market Data'!$E$52*'Mkt Pen Veh-Mi'!G42</f>
        <v>0</v>
      </c>
      <c r="H42" s="426">
        <f>'Market Data'!$O$52*'Mkt Pen Veh-Mi'!H42</f>
        <v>4.2472086172227863E-2</v>
      </c>
      <c r="I42" s="427">
        <f>'Market Data'!$O$52*'Mkt Pen Veh-Mi'!I42</f>
        <v>0.10515597008256936</v>
      </c>
      <c r="J42" s="427">
        <f>'Market Data'!$O$52*'Mkt Pen Veh-Mi'!J42</f>
        <v>9.3871797373730165E-2</v>
      </c>
      <c r="K42" s="701">
        <f>'Market Data'!$O$52*'Mkt Pen Veh-Mi'!K42</f>
        <v>0</v>
      </c>
      <c r="L42" s="701">
        <f>'Market Data'!$O$52*'Mkt Pen Veh-Mi'!L42</f>
        <v>3.924913439677033E-4</v>
      </c>
      <c r="M42" s="706">
        <f>'Market Data'!$O$52*'Mkt Pen Veh-Mi'!M42</f>
        <v>0</v>
      </c>
      <c r="N42" s="426">
        <f>'Market Data'!$Y$52*'Mkt Pen Veh-Mi'!N42</f>
        <v>1.7068329466224538E-2</v>
      </c>
      <c r="O42" s="427">
        <f>'Market Data'!$Y$52*'Mkt Pen Veh-Mi'!O42</f>
        <v>1.5171336725705982E-2</v>
      </c>
      <c r="P42" s="427">
        <f>'Market Data'!$Y$52*'Mkt Pen Veh-Mi'!P42</f>
        <v>5.6553033981768003E-2</v>
      </c>
      <c r="Q42" s="701">
        <f>'Market Data'!$Y$52*'Mkt Pen Veh-Mi'!Q42</f>
        <v>0</v>
      </c>
      <c r="R42" s="701">
        <f>'Market Data'!$Y$52*'Mkt Pen Veh-Mi'!R42</f>
        <v>8.8570711387979167E-4</v>
      </c>
      <c r="S42" s="706">
        <f>'Market Data'!$Y$52*'Mkt Pen Veh-Mi'!S42</f>
        <v>0</v>
      </c>
      <c r="T42" s="426">
        <f t="shared" si="6"/>
        <v>7.6222798475313214E-2</v>
      </c>
      <c r="U42" s="428">
        <f t="shared" si="8"/>
        <v>0.92377720152468679</v>
      </c>
    </row>
    <row r="43" spans="1:21" ht="15" x14ac:dyDescent="0.25">
      <c r="A43" s="403">
        <v>2041</v>
      </c>
      <c r="B43" s="430">
        <f>'Market Data'!$E$52*'Mkt Pen Veh-Mi'!B43</f>
        <v>1.5663159272966722E-2</v>
      </c>
      <c r="C43" s="431">
        <f>'Market Data'!$E$52*'Mkt Pen Veh-Mi'!C43</f>
        <v>0.3353464601910926</v>
      </c>
      <c r="D43" s="431">
        <f>'Market Data'!$E$52*'Mkt Pen Veh-Mi'!D43</f>
        <v>0.31741962827586717</v>
      </c>
      <c r="E43" s="702">
        <f>'Market Data'!$E$52*'Mkt Pen Veh-Mi'!E43</f>
        <v>0</v>
      </c>
      <c r="F43" s="702">
        <f>'Market Data'!$E$52*'Mkt Pen Veh-Mi'!F43</f>
        <v>0</v>
      </c>
      <c r="G43" s="707">
        <f>'Market Data'!$E$52*'Mkt Pen Veh-Mi'!G43</f>
        <v>0</v>
      </c>
      <c r="H43" s="430">
        <f>'Market Data'!$O$52*'Mkt Pen Veh-Mi'!H43</f>
        <v>3.7676165109055561E-2</v>
      </c>
      <c r="I43" s="431">
        <f>'Market Data'!$O$52*'Mkt Pen Veh-Mi'!I43</f>
        <v>0.10591544016406992</v>
      </c>
      <c r="J43" s="431">
        <f>'Market Data'!$O$52*'Mkt Pen Veh-Mi'!J43</f>
        <v>9.5657205475683529E-2</v>
      </c>
      <c r="K43" s="702">
        <f>'Market Data'!$O$52*'Mkt Pen Veh-Mi'!K43</f>
        <v>0</v>
      </c>
      <c r="L43" s="702">
        <f>'Market Data'!$O$52*'Mkt Pen Veh-Mi'!L43</f>
        <v>2.643534223686086E-3</v>
      </c>
      <c r="M43" s="707">
        <f>'Market Data'!$O$52*'Mkt Pen Veh-Mi'!M43</f>
        <v>0</v>
      </c>
      <c r="N43" s="430">
        <f>'Market Data'!$Y$52*'Mkt Pen Veh-Mi'!N43</f>
        <v>1.2569627569927974E-2</v>
      </c>
      <c r="O43" s="431">
        <f>'Market Data'!$Y$52*'Mkt Pen Veh-Mi'!O43</f>
        <v>2.4333118498813911E-2</v>
      </c>
      <c r="P43" s="431">
        <f>'Market Data'!$Y$52*'Mkt Pen Veh-Mi'!P43</f>
        <v>5.1393803687343718E-2</v>
      </c>
      <c r="Q43" s="702">
        <f>'Market Data'!$Y$52*'Mkt Pen Veh-Mi'!Q43</f>
        <v>0</v>
      </c>
      <c r="R43" s="702">
        <f>'Market Data'!$Y$52*'Mkt Pen Veh-Mi'!R43</f>
        <v>1.3818575314927118E-3</v>
      </c>
      <c r="S43" s="707">
        <f>'Market Data'!$Y$52*'Mkt Pen Veh-Mi'!S43</f>
        <v>0</v>
      </c>
      <c r="T43" s="433">
        <f t="shared" si="6"/>
        <v>6.5908951951950262E-2</v>
      </c>
      <c r="U43" s="434">
        <f t="shared" si="8"/>
        <v>0.93409104804804954</v>
      </c>
    </row>
    <row r="44" spans="1:21" ht="15" x14ac:dyDescent="0.25">
      <c r="A44" s="403">
        <v>2042</v>
      </c>
      <c r="B44" s="423">
        <f>'Market Data'!$E$52*'Mkt Pen Veh-Mi'!B44</f>
        <v>1.5955342066962891E-2</v>
      </c>
      <c r="C44" s="424">
        <f>'Market Data'!$E$52*'Mkt Pen Veh-Mi'!C44</f>
        <v>0.33269945963957642</v>
      </c>
      <c r="D44" s="424">
        <f>'Market Data'!$E$52*'Mkt Pen Veh-Mi'!D44</f>
        <v>0.31971815428419575</v>
      </c>
      <c r="E44" s="700">
        <f>'Market Data'!$E$52*'Mkt Pen Veh-Mi'!E44</f>
        <v>0</v>
      </c>
      <c r="F44" s="700">
        <f>'Market Data'!$E$52*'Mkt Pen Veh-Mi'!F44</f>
        <v>5.6291749191468168E-5</v>
      </c>
      <c r="G44" s="705">
        <f>'Market Data'!$E$52*'Mkt Pen Veh-Mi'!G44</f>
        <v>0</v>
      </c>
      <c r="H44" s="423">
        <f>'Market Data'!$O$52*'Mkt Pen Veh-Mi'!H44</f>
        <v>3.4401476827234524E-2</v>
      </c>
      <c r="I44" s="424">
        <f>'Market Data'!$O$52*'Mkt Pen Veh-Mi'!I44</f>
        <v>0.10276454162857156</v>
      </c>
      <c r="J44" s="424">
        <f>'Market Data'!$O$52*'Mkt Pen Veh-Mi'!J44</f>
        <v>9.4687317993873019E-2</v>
      </c>
      <c r="K44" s="700">
        <f>'Market Data'!$O$52*'Mkt Pen Veh-Mi'!K44</f>
        <v>0</v>
      </c>
      <c r="L44" s="700">
        <f>'Market Data'!$O$52*'Mkt Pen Veh-Mi'!L44</f>
        <v>1.0039008522815982E-2</v>
      </c>
      <c r="M44" s="705">
        <f>'Market Data'!$O$52*'Mkt Pen Veh-Mi'!M44</f>
        <v>0</v>
      </c>
      <c r="N44" s="423">
        <f>'Market Data'!$Y$52*'Mkt Pen Veh-Mi'!N44</f>
        <v>7.8122946990619177E-3</v>
      </c>
      <c r="O44" s="424">
        <f>'Market Data'!$Y$52*'Mkt Pen Veh-Mi'!O44</f>
        <v>3.0806017379343593E-2</v>
      </c>
      <c r="P44" s="424">
        <f>'Market Data'!$Y$52*'Mkt Pen Veh-Mi'!P44</f>
        <v>4.8772244890917478E-2</v>
      </c>
      <c r="Q44" s="700">
        <f>'Market Data'!$Y$52*'Mkt Pen Veh-Mi'!Q44</f>
        <v>1.9211753933623941E-6</v>
      </c>
      <c r="R44" s="700">
        <f>'Market Data'!$Y$52*'Mkt Pen Veh-Mi'!R44</f>
        <v>2.2859291428619548E-3</v>
      </c>
      <c r="S44" s="705">
        <f>'Market Data'!$Y$52*'Mkt Pen Veh-Mi'!S44</f>
        <v>0</v>
      </c>
      <c r="T44" s="423">
        <f t="shared" si="6"/>
        <v>5.8169113593259332E-2</v>
      </c>
      <c r="U44" s="425">
        <f t="shared" si="8"/>
        <v>0.94183088640674051</v>
      </c>
    </row>
    <row r="45" spans="1:21" ht="15" x14ac:dyDescent="0.25">
      <c r="A45" s="403">
        <v>2043</v>
      </c>
      <c r="B45" s="423">
        <f>'Market Data'!$E$52*'Mkt Pen Veh-Mi'!B45</f>
        <v>1.454995727712447E-2</v>
      </c>
      <c r="C45" s="424">
        <f>'Market Data'!$E$52*'Mkt Pen Veh-Mi'!C45</f>
        <v>0.32924234369112443</v>
      </c>
      <c r="D45" s="424">
        <f>'Market Data'!$E$52*'Mkt Pen Veh-Mi'!D45</f>
        <v>0.31975530707519811</v>
      </c>
      <c r="E45" s="700">
        <f>'Market Data'!$E$52*'Mkt Pen Veh-Mi'!E45</f>
        <v>0</v>
      </c>
      <c r="F45" s="700">
        <f>'Market Data'!$E$52*'Mkt Pen Veh-Mi'!F45</f>
        <v>4.8816396964795217E-3</v>
      </c>
      <c r="G45" s="705">
        <f>'Market Data'!$E$52*'Mkt Pen Veh-Mi'!G45</f>
        <v>0</v>
      </c>
      <c r="H45" s="423">
        <f>'Market Data'!$O$52*'Mkt Pen Veh-Mi'!H45</f>
        <v>3.1517102309869441E-2</v>
      </c>
      <c r="I45" s="424">
        <f>'Market Data'!$O$52*'Mkt Pen Veh-Mi'!I45</f>
        <v>9.7731727205162711E-2</v>
      </c>
      <c r="J45" s="424">
        <f>'Market Data'!$O$52*'Mkt Pen Veh-Mi'!J45</f>
        <v>9.1790990814994214E-2</v>
      </c>
      <c r="K45" s="700">
        <f>'Market Data'!$O$52*'Mkt Pen Veh-Mi'!K45</f>
        <v>0</v>
      </c>
      <c r="L45" s="700">
        <f>'Market Data'!$O$52*'Mkt Pen Veh-Mi'!L45</f>
        <v>2.0852524642468742E-2</v>
      </c>
      <c r="M45" s="705">
        <f>'Market Data'!$O$52*'Mkt Pen Veh-Mi'!M45</f>
        <v>0</v>
      </c>
      <c r="N45" s="423">
        <f>'Market Data'!$Y$52*'Mkt Pen Veh-Mi'!N45</f>
        <v>3.873858608237636E-3</v>
      </c>
      <c r="O45" s="424">
        <f>'Market Data'!$Y$52*'Mkt Pen Veh-Mi'!O45</f>
        <v>3.5565593431244144E-2</v>
      </c>
      <c r="P45" s="424">
        <f>'Market Data'!$Y$52*'Mkt Pen Veh-Mi'!P45</f>
        <v>4.6492470909010049E-2</v>
      </c>
      <c r="Q45" s="700">
        <f>'Market Data'!$Y$52*'Mkt Pen Veh-Mi'!Q45</f>
        <v>6.731541569366634E-5</v>
      </c>
      <c r="R45" s="700">
        <f>'Market Data'!$Y$52*'Mkt Pen Veh-Mi'!R45</f>
        <v>3.6791689233928106E-3</v>
      </c>
      <c r="S45" s="705">
        <f>'Market Data'!$Y$52*'Mkt Pen Veh-Mi'!S45</f>
        <v>0</v>
      </c>
      <c r="T45" s="423">
        <f t="shared" si="6"/>
        <v>4.9940918195231547E-2</v>
      </c>
      <c r="U45" s="425">
        <f t="shared" si="8"/>
        <v>0.95005908180476839</v>
      </c>
    </row>
    <row r="46" spans="1:21" ht="15" x14ac:dyDescent="0.25">
      <c r="A46" s="403">
        <v>2044</v>
      </c>
      <c r="B46" s="423">
        <f>'Market Data'!$E$52*'Mkt Pen Veh-Mi'!B46</f>
        <v>1.5032439316280547E-2</v>
      </c>
      <c r="C46" s="424">
        <f>'Market Data'!$E$52*'Mkt Pen Veh-Mi'!C46</f>
        <v>0.31490057411638861</v>
      </c>
      <c r="D46" s="424">
        <f>'Market Data'!$E$52*'Mkt Pen Veh-Mi'!D46</f>
        <v>0.30741820916456913</v>
      </c>
      <c r="E46" s="700">
        <f>'Market Data'!$E$52*'Mkt Pen Veh-Mi'!E46</f>
        <v>0</v>
      </c>
      <c r="F46" s="700">
        <f>'Market Data'!$E$52*'Mkt Pen Veh-Mi'!F46</f>
        <v>3.1078025142688263E-2</v>
      </c>
      <c r="G46" s="705">
        <f>'Market Data'!$E$52*'Mkt Pen Veh-Mi'!G46</f>
        <v>0</v>
      </c>
      <c r="H46" s="423">
        <f>'Market Data'!$O$52*'Mkt Pen Veh-Mi'!H46</f>
        <v>2.9057593536889022E-2</v>
      </c>
      <c r="I46" s="424">
        <f>'Market Data'!$O$52*'Mkt Pen Veh-Mi'!I46</f>
        <v>9.1959534629573819E-2</v>
      </c>
      <c r="J46" s="424">
        <f>'Market Data'!$O$52*'Mkt Pen Veh-Mi'!J46</f>
        <v>8.7188374747009106E-2</v>
      </c>
      <c r="K46" s="700">
        <f>'Market Data'!$O$52*'Mkt Pen Veh-Mi'!K46</f>
        <v>3.5189238312743464E-4</v>
      </c>
      <c r="L46" s="700">
        <f>'Market Data'!$O$52*'Mkt Pen Veh-Mi'!L46</f>
        <v>3.333494967589571E-2</v>
      </c>
      <c r="M46" s="705">
        <f>'Market Data'!$O$52*'Mkt Pen Veh-Mi'!M46</f>
        <v>0</v>
      </c>
      <c r="N46" s="423">
        <f>'Market Data'!$Y$52*'Mkt Pen Veh-Mi'!N46</f>
        <v>1.3409449894158866E-3</v>
      </c>
      <c r="O46" s="424">
        <f>'Market Data'!$Y$52*'Mkt Pen Veh-Mi'!O46</f>
        <v>3.8234093529971654E-2</v>
      </c>
      <c r="P46" s="424">
        <f>'Market Data'!$Y$52*'Mkt Pen Veh-Mi'!P46</f>
        <v>4.3985149250392493E-2</v>
      </c>
      <c r="Q46" s="700">
        <f>'Market Data'!$Y$52*'Mkt Pen Veh-Mi'!Q46</f>
        <v>5.3256721841074041E-4</v>
      </c>
      <c r="R46" s="700">
        <f>'Market Data'!$Y$52*'Mkt Pen Veh-Mi'!R46</f>
        <v>5.5856522993875416E-3</v>
      </c>
      <c r="S46" s="705">
        <f>'Market Data'!$Y$52*'Mkt Pen Veh-Mi'!S46</f>
        <v>0</v>
      </c>
      <c r="T46" s="423">
        <f t="shared" si="6"/>
        <v>4.5430977842585457E-2</v>
      </c>
      <c r="U46" s="425">
        <f t="shared" si="8"/>
        <v>0.95456902215741457</v>
      </c>
    </row>
    <row r="47" spans="1:21" ht="15" x14ac:dyDescent="0.25">
      <c r="A47" s="402">
        <v>2045</v>
      </c>
      <c r="B47" s="426">
        <f>'Market Data'!$E$52*'Mkt Pen Veh-Mi'!B47</f>
        <v>1.5116324379807458E-2</v>
      </c>
      <c r="C47" s="427">
        <f>'Market Data'!$E$52*'Mkt Pen Veh-Mi'!C47</f>
        <v>0.28714467634509516</v>
      </c>
      <c r="D47" s="427">
        <f>'Market Data'!$E$52*'Mkt Pen Veh-Mi'!D47</f>
        <v>0.28177206531217014</v>
      </c>
      <c r="E47" s="701">
        <f>'Market Data'!$E$52*'Mkt Pen Veh-Mi'!E47</f>
        <v>2.518717989034597E-3</v>
      </c>
      <c r="F47" s="701">
        <f>'Market Data'!$E$52*'Mkt Pen Veh-Mi'!F47</f>
        <v>8.1877463713819154E-2</v>
      </c>
      <c r="G47" s="706">
        <f>'Market Data'!$E$52*'Mkt Pen Veh-Mi'!G47</f>
        <v>0</v>
      </c>
      <c r="H47" s="426">
        <f>'Market Data'!$O$52*'Mkt Pen Veh-Mi'!H47</f>
        <v>2.667386000423488E-2</v>
      </c>
      <c r="I47" s="427">
        <f>'Market Data'!$O$52*'Mkt Pen Veh-Mi'!I47</f>
        <v>8.6262859250401586E-2</v>
      </c>
      <c r="J47" s="427">
        <f>'Market Data'!$O$52*'Mkt Pen Veh-Mi'!J47</f>
        <v>8.200211101783586E-2</v>
      </c>
      <c r="K47" s="701">
        <f>'Market Data'!$O$52*'Mkt Pen Veh-Mi'!K47</f>
        <v>3.2379751313692108E-3</v>
      </c>
      <c r="L47" s="701">
        <f>'Market Data'!$O$52*'Mkt Pen Veh-Mi'!L47</f>
        <v>4.3715539568653553E-2</v>
      </c>
      <c r="M47" s="706">
        <f>'Market Data'!$O$52*'Mkt Pen Veh-Mi'!M47</f>
        <v>0</v>
      </c>
      <c r="N47" s="426">
        <f>'Market Data'!$Y$52*'Mkt Pen Veh-Mi'!N47</f>
        <v>2.0588984108196206E-4</v>
      </c>
      <c r="O47" s="427">
        <f>'Market Data'!$Y$52*'Mkt Pen Veh-Mi'!O47</f>
        <v>3.8185890897655173E-2</v>
      </c>
      <c r="P47" s="427">
        <f>'Market Data'!$Y$52*'Mkt Pen Veh-Mi'!P47</f>
        <v>4.1071310168300484E-2</v>
      </c>
      <c r="Q47" s="701">
        <f>'Market Data'!$Y$52*'Mkt Pen Veh-Mi'!Q47</f>
        <v>1.9763984214015017E-3</v>
      </c>
      <c r="R47" s="701">
        <f>'Market Data'!$Y$52*'Mkt Pen Veh-Mi'!R47</f>
        <v>8.2389179591391866E-3</v>
      </c>
      <c r="S47" s="706">
        <f>'Market Data'!$Y$52*'Mkt Pen Veh-Mi'!S47</f>
        <v>0</v>
      </c>
      <c r="T47" s="426">
        <f t="shared" si="6"/>
        <v>4.1996074225124302E-2</v>
      </c>
      <c r="U47" s="428">
        <f t="shared" si="8"/>
        <v>0.95800392577487559</v>
      </c>
    </row>
    <row r="48" spans="1:21" ht="15" x14ac:dyDescent="0.25">
      <c r="A48" s="403">
        <v>2046</v>
      </c>
      <c r="B48" s="430">
        <f>'Market Data'!$E$52*'Mkt Pen Veh-Mi'!B48</f>
        <v>1.5474852769052298E-2</v>
      </c>
      <c r="C48" s="431">
        <f>'Market Data'!$E$52*'Mkt Pen Veh-Mi'!C48</f>
        <v>0.26102840946317485</v>
      </c>
      <c r="D48" s="431">
        <f>'Market Data'!$E$52*'Mkt Pen Veh-Mi'!D48</f>
        <v>0.25665477879348808</v>
      </c>
      <c r="E48" s="702">
        <f>'Market Data'!$E$52*'Mkt Pen Veh-Mi'!E48</f>
        <v>1.7407160624580444E-2</v>
      </c>
      <c r="F48" s="702">
        <f>'Market Data'!$E$52*'Mkt Pen Veh-Mi'!F48</f>
        <v>0.11786404608963082</v>
      </c>
      <c r="G48" s="707">
        <f>'Market Data'!$E$52*'Mkt Pen Veh-Mi'!G48</f>
        <v>0</v>
      </c>
      <c r="H48" s="430">
        <f>'Market Data'!$O$52*'Mkt Pen Veh-Mi'!H48</f>
        <v>2.5762417614018627E-2</v>
      </c>
      <c r="I48" s="431">
        <f>'Market Data'!$O$52*'Mkt Pen Veh-Mi'!I48</f>
        <v>8.1187531771260008E-2</v>
      </c>
      <c r="J48" s="431">
        <f>'Market Data'!$O$52*'Mkt Pen Veh-Mi'!J48</f>
        <v>7.7816426094045557E-2</v>
      </c>
      <c r="K48" s="702">
        <f>'Market Data'!$O$52*'Mkt Pen Veh-Mi'!K48</f>
        <v>7.1093174956707436E-3</v>
      </c>
      <c r="L48" s="702">
        <f>'Market Data'!$O$52*'Mkt Pen Veh-Mi'!L48</f>
        <v>5.0016651997500154E-2</v>
      </c>
      <c r="M48" s="707">
        <f>'Market Data'!$O$52*'Mkt Pen Veh-Mi'!M48</f>
        <v>0</v>
      </c>
      <c r="N48" s="430">
        <f>'Market Data'!$Y$52*'Mkt Pen Veh-Mi'!N48</f>
        <v>3.1185452109287474E-5</v>
      </c>
      <c r="O48" s="431">
        <f>'Market Data'!$Y$52*'Mkt Pen Veh-Mi'!O48</f>
        <v>3.6426992873954914E-2</v>
      </c>
      <c r="P48" s="431">
        <f>'Market Data'!$Y$52*'Mkt Pen Veh-Mi'!P48</f>
        <v>3.787525943580123E-2</v>
      </c>
      <c r="Q48" s="702">
        <f>'Market Data'!$Y$52*'Mkt Pen Veh-Mi'!Q48</f>
        <v>4.4695841279178364E-3</v>
      </c>
      <c r="R48" s="702">
        <f>'Market Data'!$Y$52*'Mkt Pen Veh-Mi'!R48</f>
        <v>1.0875385397795045E-2</v>
      </c>
      <c r="S48" s="707">
        <f>'Market Data'!$Y$52*'Mkt Pen Veh-Mi'!S48</f>
        <v>0</v>
      </c>
      <c r="T48" s="433">
        <f t="shared" si="6"/>
        <v>4.1268455835180212E-2</v>
      </c>
      <c r="U48" s="434">
        <f t="shared" si="8"/>
        <v>0.95873154416481976</v>
      </c>
    </row>
    <row r="49" spans="1:21" ht="15" x14ac:dyDescent="0.25">
      <c r="A49" s="403">
        <v>2047</v>
      </c>
      <c r="B49" s="423">
        <f>'Market Data'!$E$52*'Mkt Pen Veh-Mi'!B49</f>
        <v>1.5739593400000574E-2</v>
      </c>
      <c r="C49" s="424">
        <f>'Market Data'!$E$52*'Mkt Pen Veh-Mi'!C49</f>
        <v>0.23832158526148184</v>
      </c>
      <c r="D49" s="424">
        <f>'Market Data'!$E$52*'Mkt Pen Veh-Mi'!D49</f>
        <v>0.23477813390015087</v>
      </c>
      <c r="E49" s="700">
        <f>'Market Data'!$E$52*'Mkt Pen Veh-Mi'!E49</f>
        <v>3.8059524708492574E-2</v>
      </c>
      <c r="F49" s="700">
        <f>'Market Data'!$E$52*'Mkt Pen Veh-Mi'!F49</f>
        <v>0.14153041046980067</v>
      </c>
      <c r="G49" s="705">
        <f>'Market Data'!$E$52*'Mkt Pen Veh-Mi'!G49</f>
        <v>0</v>
      </c>
      <c r="H49" s="423">
        <f>'Market Data'!$O$52*'Mkt Pen Veh-Mi'!H49</f>
        <v>2.4600848083277428E-2</v>
      </c>
      <c r="I49" s="424">
        <f>'Market Data'!$O$52*'Mkt Pen Veh-Mi'!I49</f>
        <v>7.769162439973204E-2</v>
      </c>
      <c r="J49" s="424">
        <f>'Market Data'!$O$52*'Mkt Pen Veh-Mi'!J49</f>
        <v>7.4535487332721237E-2</v>
      </c>
      <c r="K49" s="700">
        <f>'Market Data'!$O$52*'Mkt Pen Veh-Mi'!K49</f>
        <v>1.0547939195804906E-2</v>
      </c>
      <c r="L49" s="700">
        <f>'Market Data'!$O$52*'Mkt Pen Veh-Mi'!L49</f>
        <v>5.4516445960959482E-2</v>
      </c>
      <c r="M49" s="705">
        <f>'Market Data'!$O$52*'Mkt Pen Veh-Mi'!M49</f>
        <v>0</v>
      </c>
      <c r="N49" s="423">
        <f>'Market Data'!$Y$52*'Mkt Pen Veh-Mi'!N49</f>
        <v>8.6878211662819281E-6</v>
      </c>
      <c r="O49" s="424">
        <f>'Market Data'!$Y$52*'Mkt Pen Veh-Mi'!O49</f>
        <v>3.4059624588663066E-2</v>
      </c>
      <c r="P49" s="424">
        <f>'Market Data'!$Y$52*'Mkt Pen Veh-Mi'!P49</f>
        <v>3.4900986657068207E-2</v>
      </c>
      <c r="Q49" s="700">
        <f>'Market Data'!$Y$52*'Mkt Pen Veh-Mi'!Q49</f>
        <v>7.7840618790258956E-3</v>
      </c>
      <c r="R49" s="700">
        <f>'Market Data'!$Y$52*'Mkt Pen Veh-Mi'!R49</f>
        <v>1.2925046341654863E-2</v>
      </c>
      <c r="S49" s="705">
        <f>'Market Data'!$Y$52*'Mkt Pen Veh-Mi'!S49</f>
        <v>0</v>
      </c>
      <c r="T49" s="423">
        <f t="shared" si="6"/>
        <v>4.0349129304444287E-2</v>
      </c>
      <c r="U49" s="425">
        <f t="shared" si="8"/>
        <v>0.95965087069555566</v>
      </c>
    </row>
    <row r="50" spans="1:21" ht="15" x14ac:dyDescent="0.25">
      <c r="A50" s="403">
        <v>2048</v>
      </c>
      <c r="B50" s="423">
        <f>'Market Data'!$E$52*'Mkt Pen Veh-Mi'!B50</f>
        <v>1.5921954498708181E-2</v>
      </c>
      <c r="C50" s="424">
        <f>'Market Data'!$E$52*'Mkt Pen Veh-Mi'!C50</f>
        <v>0.22359894898450158</v>
      </c>
      <c r="D50" s="424">
        <f>'Market Data'!$E$52*'Mkt Pen Veh-Mi'!D50</f>
        <v>0.22074224256554217</v>
      </c>
      <c r="E50" s="700">
        <f>'Market Data'!$E$52*'Mkt Pen Veh-Mi'!E50</f>
        <v>5.358376938749207E-2</v>
      </c>
      <c r="F50" s="700">
        <f>'Market Data'!$E$52*'Mkt Pen Veh-Mi'!F50</f>
        <v>0.15458233230368251</v>
      </c>
      <c r="G50" s="705">
        <f>'Market Data'!$E$52*'Mkt Pen Veh-Mi'!G50</f>
        <v>0</v>
      </c>
      <c r="H50" s="423">
        <f>'Market Data'!$O$52*'Mkt Pen Veh-Mi'!H50</f>
        <v>2.4544111677673088E-2</v>
      </c>
      <c r="I50" s="424">
        <f>'Market Data'!$O$52*'Mkt Pen Veh-Mi'!I50</f>
        <v>7.5138675451284415E-2</v>
      </c>
      <c r="J50" s="424">
        <f>'Market Data'!$O$52*'Mkt Pen Veh-Mi'!J50</f>
        <v>7.2586423438176811E-2</v>
      </c>
      <c r="K50" s="700">
        <f>'Market Data'!$O$52*'Mkt Pen Veh-Mi'!K50</f>
        <v>1.2547197971809181E-2</v>
      </c>
      <c r="L50" s="700">
        <f>'Market Data'!$O$52*'Mkt Pen Veh-Mi'!L50</f>
        <v>5.7075936433551619E-2</v>
      </c>
      <c r="M50" s="705">
        <f>'Market Data'!$O$52*'Mkt Pen Veh-Mi'!M50</f>
        <v>0</v>
      </c>
      <c r="N50" s="423">
        <f>'Market Data'!$Y$52*'Mkt Pen Veh-Mi'!N50</f>
        <v>1.2450985932022247E-6</v>
      </c>
      <c r="O50" s="424">
        <f>'Market Data'!$Y$52*'Mkt Pen Veh-Mi'!O50</f>
        <v>3.2217460994436148E-2</v>
      </c>
      <c r="P50" s="424">
        <f>'Market Data'!$Y$52*'Mkt Pen Veh-Mi'!P50</f>
        <v>3.2728021246722416E-2</v>
      </c>
      <c r="Q50" s="700">
        <f>'Market Data'!$Y$52*'Mkt Pen Veh-Mi'!Q50</f>
        <v>1.0548701882090592E-2</v>
      </c>
      <c r="R50" s="700">
        <f>'Market Data'!$Y$52*'Mkt Pen Veh-Mi'!R50</f>
        <v>1.418297806573594E-2</v>
      </c>
      <c r="S50" s="705">
        <f>'Market Data'!$Y$52*'Mkt Pen Veh-Mi'!S50</f>
        <v>0</v>
      </c>
      <c r="T50" s="423">
        <f t="shared" si="6"/>
        <v>4.0467311274974473E-2</v>
      </c>
      <c r="U50" s="425">
        <f t="shared" si="8"/>
        <v>0.95953268872502551</v>
      </c>
    </row>
    <row r="51" spans="1:21" ht="15" x14ac:dyDescent="0.25">
      <c r="A51" s="403">
        <v>2049</v>
      </c>
      <c r="B51" s="423">
        <f>'Market Data'!$E$52*'Mkt Pen Veh-Mi'!B51</f>
        <v>1.5523878581738841E-2</v>
      </c>
      <c r="C51" s="424">
        <f>'Market Data'!$E$52*'Mkt Pen Veh-Mi'!C51</f>
        <v>0.21457472256163007</v>
      </c>
      <c r="D51" s="424">
        <f>'Market Data'!$E$52*'Mkt Pen Veh-Mi'!D51</f>
        <v>0.21175010156931406</v>
      </c>
      <c r="E51" s="700">
        <f>'Market Data'!$E$52*'Mkt Pen Veh-Mi'!E51</f>
        <v>6.4780100719706496E-2</v>
      </c>
      <c r="F51" s="700">
        <f>'Market Data'!$E$52*'Mkt Pen Veh-Mi'!F51</f>
        <v>0.16180044430753704</v>
      </c>
      <c r="G51" s="705">
        <f>'Market Data'!$E$52*'Mkt Pen Veh-Mi'!G51</f>
        <v>0</v>
      </c>
      <c r="H51" s="423">
        <f>'Market Data'!$O$52*'Mkt Pen Veh-Mi'!H51</f>
        <v>2.3742582765621599E-2</v>
      </c>
      <c r="I51" s="424">
        <f>'Market Data'!$O$52*'Mkt Pen Veh-Mi'!I51</f>
        <v>7.3912817390954136E-2</v>
      </c>
      <c r="J51" s="424">
        <f>'Market Data'!$O$52*'Mkt Pen Veh-Mi'!J51</f>
        <v>7.1505566326516057E-2</v>
      </c>
      <c r="K51" s="700">
        <f>'Market Data'!$O$52*'Mkt Pen Veh-Mi'!K51</f>
        <v>1.3910195280309854E-2</v>
      </c>
      <c r="L51" s="700">
        <f>'Market Data'!$O$52*'Mkt Pen Veh-Mi'!L51</f>
        <v>5.8821183209093436E-2</v>
      </c>
      <c r="M51" s="705">
        <f>'Market Data'!$O$52*'Mkt Pen Veh-Mi'!M51</f>
        <v>0</v>
      </c>
      <c r="N51" s="423">
        <f>'Market Data'!$Y$52*'Mkt Pen Veh-Mi'!N51</f>
        <v>7.820068933091718E-7</v>
      </c>
      <c r="O51" s="424">
        <f>'Market Data'!$Y$52*'Mkt Pen Veh-Mi'!O51</f>
        <v>3.0959130987749158E-2</v>
      </c>
      <c r="P51" s="424">
        <f>'Market Data'!$Y$52*'Mkt Pen Veh-Mi'!P51</f>
        <v>3.1299775624559573E-2</v>
      </c>
      <c r="Q51" s="700">
        <f>'Market Data'!$Y$52*'Mkt Pen Veh-Mi'!Q51</f>
        <v>1.2295477418368381E-2</v>
      </c>
      <c r="R51" s="700">
        <f>'Market Data'!$Y$52*'Mkt Pen Veh-Mi'!R51</f>
        <v>1.5123241250007888E-2</v>
      </c>
      <c r="S51" s="705">
        <f>'Market Data'!$Y$52*'Mkt Pen Veh-Mi'!S51</f>
        <v>0</v>
      </c>
      <c r="T51" s="423">
        <f t="shared" si="6"/>
        <v>3.9267243354253745E-2</v>
      </c>
      <c r="U51" s="425">
        <f t="shared" si="8"/>
        <v>0.96073275664574609</v>
      </c>
    </row>
    <row r="52" spans="1:21" ht="15.75" thickBot="1" x14ac:dyDescent="0.3">
      <c r="A52" s="404">
        <v>2050</v>
      </c>
      <c r="B52" s="435">
        <f>'Market Data'!$E$52*'Mkt Pen Veh-Mi'!B52</f>
        <v>1.5724885059719151E-2</v>
      </c>
      <c r="C52" s="436">
        <f>'Market Data'!$E$52*'Mkt Pen Veh-Mi'!C52</f>
        <v>0.20408505249267611</v>
      </c>
      <c r="D52" s="436">
        <f>'Market Data'!$E$52*'Mkt Pen Veh-Mi'!D52</f>
        <v>0.20147549302373</v>
      </c>
      <c r="E52" s="703">
        <f>'Market Data'!$E$52*'Mkt Pen Veh-Mi'!E52</f>
        <v>7.9453884356787366E-2</v>
      </c>
      <c r="F52" s="703">
        <f>'Market Data'!$E$52*'Mkt Pen Veh-Mi'!F52</f>
        <v>0.16768993280701391</v>
      </c>
      <c r="G52" s="708">
        <f>'Market Data'!$E$52*'Mkt Pen Veh-Mi'!G52</f>
        <v>0</v>
      </c>
      <c r="H52" s="435">
        <f>'Market Data'!$O$52*'Mkt Pen Veh-Mi'!H52</f>
        <v>2.3283654949617129E-2</v>
      </c>
      <c r="I52" s="436">
        <f>'Market Data'!$O$52*'Mkt Pen Veh-Mi'!I52</f>
        <v>7.2074452941596479E-2</v>
      </c>
      <c r="J52" s="436">
        <f>'Market Data'!$O$52*'Mkt Pen Veh-Mi'!J52</f>
        <v>6.9918788010591801E-2</v>
      </c>
      <c r="K52" s="703">
        <f>'Market Data'!$O$52*'Mkt Pen Veh-Mi'!K52</f>
        <v>1.547194213884949E-2</v>
      </c>
      <c r="L52" s="703">
        <f>'Market Data'!$O$52*'Mkt Pen Veh-Mi'!L52</f>
        <v>6.1143506931840196E-2</v>
      </c>
      <c r="M52" s="708">
        <f>'Market Data'!$O$52*'Mkt Pen Veh-Mi'!M52</f>
        <v>0</v>
      </c>
      <c r="N52" s="435">
        <f>'Market Data'!$Y$52*'Mkt Pen Veh-Mi'!N52</f>
        <v>3.470484498664487E-7</v>
      </c>
      <c r="O52" s="436">
        <f>'Market Data'!$Y$52*'Mkt Pen Veh-Mi'!O52</f>
        <v>2.8956428987167319E-2</v>
      </c>
      <c r="P52" s="436">
        <f>'Market Data'!$Y$52*'Mkt Pen Veh-Mi'!P52</f>
        <v>2.9110075155675361E-2</v>
      </c>
      <c r="Q52" s="703">
        <f>'Market Data'!$Y$52*'Mkt Pen Veh-Mi'!Q52</f>
        <v>1.5302658473364169E-2</v>
      </c>
      <c r="R52" s="703">
        <f>'Market Data'!$Y$52*'Mkt Pen Veh-Mi'!R52</f>
        <v>1.6308897622921589E-2</v>
      </c>
      <c r="S52" s="708">
        <f>'Market Data'!$Y$52*'Mkt Pen Veh-Mi'!S52</f>
        <v>0</v>
      </c>
      <c r="T52" s="435">
        <f t="shared" si="6"/>
        <v>3.9008887057786143E-2</v>
      </c>
      <c r="U52" s="437">
        <f t="shared" si="8"/>
        <v>0.96099111294221373</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18:37</v>
      </c>
      <c r="B56" s="399"/>
    </row>
    <row r="57" spans="1:21" x14ac:dyDescent="0.2">
      <c r="A57" s="473" t="str">
        <f>"Combination, Non-Centrally Refueled: " &amp;TEXT(RtimeCls1NCent1,"mm/dd/yyyy hh:mm")</f>
        <v>Combination, Non-Centrally Refueled: 08/27/2020 18:37</v>
      </c>
    </row>
    <row r="58" spans="1:21" x14ac:dyDescent="0.2">
      <c r="A58" s="473" t="str">
        <f>"Single Unit, Centrally Refueled: " &amp;TEXT(RtimeCls2Cent1,"mm/dd/yyyy hh:mm")</f>
        <v>Single Unit, Centrally Refueled: 08/27/2020 18:37</v>
      </c>
    </row>
    <row r="59" spans="1:21" x14ac:dyDescent="0.2">
      <c r="A59" s="473" t="str">
        <f>"Single Unit, Non-Centrally Refueled: " &amp;TEXT(RtimeCls2NCent1,"mm/dd/yyyy hh:mm")</f>
        <v>Single Unit, Non-Centrally Refueled: 08/27/2020 18:37</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9" priority="5">
      <formula>E$7 = "not used"</formula>
    </cfRule>
  </conditionalFormatting>
  <conditionalFormatting sqref="Q6:S52">
    <cfRule type="expression" dxfId="8" priority="4">
      <formula>Q$7="not used"</formula>
    </cfRule>
  </conditionalFormatting>
  <conditionalFormatting sqref="K6:M8">
    <cfRule type="expression" dxfId="7" priority="3">
      <formula>K$7 = "not used"</formula>
    </cfRule>
  </conditionalFormatting>
  <conditionalFormatting sqref="K9:M52">
    <cfRule type="expression" dxfId="6"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defaultColWidth="9.140625" defaultRowHeight="15" x14ac:dyDescent="0.25"/>
  <cols>
    <col min="1" max="1" width="9.140625" style="1176"/>
    <col min="2" max="19" width="13.5703125" style="1176" customWidth="1"/>
    <col min="20" max="16384" width="9.140625" style="1176"/>
  </cols>
  <sheetData>
    <row r="1" spans="1:19" ht="15.75" x14ac:dyDescent="0.25">
      <c r="A1" s="1208" t="s">
        <v>313</v>
      </c>
    </row>
    <row r="3" spans="1:19" ht="15.75" thickBot="1" x14ac:dyDescent="0.3"/>
    <row r="4" spans="1:19" x14ac:dyDescent="0.25">
      <c r="A4" s="1177"/>
      <c r="B4" s="1595" t="s">
        <v>249</v>
      </c>
      <c r="C4" s="1596"/>
      <c r="D4" s="1596"/>
      <c r="E4" s="1596"/>
      <c r="F4" s="1596"/>
      <c r="G4" s="1597"/>
      <c r="H4" s="1595" t="s">
        <v>250</v>
      </c>
      <c r="I4" s="1596"/>
      <c r="J4" s="1596"/>
      <c r="K4" s="1596"/>
      <c r="L4" s="1596"/>
      <c r="M4" s="1597"/>
      <c r="N4" s="1595" t="s">
        <v>154</v>
      </c>
      <c r="O4" s="1596"/>
      <c r="P4" s="1596"/>
      <c r="Q4" s="1596"/>
      <c r="R4" s="1596"/>
      <c r="S4" s="1597"/>
    </row>
    <row r="5" spans="1:19" x14ac:dyDescent="0.25">
      <c r="A5" s="1178" t="s">
        <v>312</v>
      </c>
      <c r="B5" s="1601">
        <f>'Market Data'!C49/('Market Data'!E49+'Market Data'!C49)</f>
        <v>0.23038147668861172</v>
      </c>
      <c r="C5" s="1602"/>
      <c r="D5" s="1602"/>
      <c r="E5" s="1602"/>
      <c r="F5" s="1602"/>
      <c r="G5" s="1603"/>
      <c r="H5" s="1601">
        <f>'Market Data'!M49/('Market Data'!M49+'Market Data'!O49)</f>
        <v>0.61452169476443286</v>
      </c>
      <c r="I5" s="1602"/>
      <c r="J5" s="1602"/>
      <c r="K5" s="1602"/>
      <c r="L5" s="1602"/>
      <c r="M5" s="1603"/>
      <c r="N5" s="1601">
        <f>'Market Data'!W49/('Market Data'!W49+'Market Data'!Y49)</f>
        <v>0.39932829612730575</v>
      </c>
      <c r="O5" s="1602"/>
      <c r="P5" s="1602"/>
      <c r="Q5" s="1602"/>
      <c r="R5" s="1602"/>
      <c r="S5" s="1603"/>
    </row>
    <row r="6" spans="1:19" x14ac:dyDescent="0.25">
      <c r="A6" s="1178"/>
      <c r="B6" s="1598" t="s">
        <v>129</v>
      </c>
      <c r="C6" s="1599"/>
      <c r="D6" s="1599"/>
      <c r="E6" s="1599"/>
      <c r="F6" s="1599"/>
      <c r="G6" s="1600"/>
      <c r="H6" s="1598" t="s">
        <v>129</v>
      </c>
      <c r="I6" s="1599"/>
      <c r="J6" s="1599"/>
      <c r="K6" s="1599"/>
      <c r="L6" s="1599"/>
      <c r="M6" s="1600"/>
      <c r="N6" s="1598" t="s">
        <v>129</v>
      </c>
      <c r="O6" s="1599"/>
      <c r="P6" s="1599"/>
      <c r="Q6" s="1599"/>
      <c r="R6" s="1599"/>
      <c r="S6" s="1600"/>
    </row>
    <row r="7" spans="1:19" x14ac:dyDescent="0.25">
      <c r="A7" s="1178"/>
      <c r="B7" s="1179" t="s">
        <v>69</v>
      </c>
      <c r="C7" s="1180" t="s">
        <v>65</v>
      </c>
      <c r="D7" s="1180" t="s">
        <v>66</v>
      </c>
      <c r="E7" s="1180" t="s">
        <v>67</v>
      </c>
      <c r="F7" s="1180" t="s">
        <v>205</v>
      </c>
      <c r="G7" s="1181" t="s">
        <v>206</v>
      </c>
      <c r="H7" s="1179" t="s">
        <v>69</v>
      </c>
      <c r="I7" s="1180" t="s">
        <v>65</v>
      </c>
      <c r="J7" s="1180" t="s">
        <v>66</v>
      </c>
      <c r="K7" s="1180" t="s">
        <v>67</v>
      </c>
      <c r="L7" s="1180" t="s">
        <v>205</v>
      </c>
      <c r="M7" s="1181" t="s">
        <v>206</v>
      </c>
      <c r="N7" s="1179" t="s">
        <v>69</v>
      </c>
      <c r="O7" s="1180" t="s">
        <v>65</v>
      </c>
      <c r="P7" s="1180" t="s">
        <v>66</v>
      </c>
      <c r="Q7" s="1180" t="s">
        <v>67</v>
      </c>
      <c r="R7" s="1180" t="s">
        <v>205</v>
      </c>
      <c r="S7" s="1181" t="s">
        <v>206</v>
      </c>
    </row>
    <row r="8" spans="1:19" ht="30" x14ac:dyDescent="0.25">
      <c r="A8" s="1182"/>
      <c r="B8" s="1183" t="str">
        <f t="shared" ref="B8:G8" si="0">INDEX(TECH_OPT_DESC_Cls1,MATCH(B7,TECH_OPT_ROWS_Cls1,0))</f>
        <v>Conventional Diesel ICE</v>
      </c>
      <c r="C8" s="1184" t="str">
        <f t="shared" si="0"/>
        <v>Adv Conv</v>
      </c>
      <c r="D8" s="1184" t="str">
        <f t="shared" si="0"/>
        <v>HEV</v>
      </c>
      <c r="E8" s="1184" t="str">
        <f t="shared" si="0"/>
        <v>BEV</v>
      </c>
      <c r="F8" s="1184" t="str">
        <f t="shared" si="0"/>
        <v>FCEV</v>
      </c>
      <c r="G8" s="1185">
        <f t="shared" si="0"/>
        <v>0</v>
      </c>
      <c r="H8" s="1183" t="str">
        <f t="shared" ref="H8:M8" si="1">INDEX(TECH_OPT_DESC_Cls2,MATCH(H7,TECH_OPT_ROWS_Cls2,0))</f>
        <v>Conventional Diesel ICE</v>
      </c>
      <c r="I8" s="1184" t="str">
        <f t="shared" si="1"/>
        <v>Adv Conv</v>
      </c>
      <c r="J8" s="1184" t="str">
        <f t="shared" si="1"/>
        <v>HEV</v>
      </c>
      <c r="K8" s="1184" t="str">
        <f t="shared" si="1"/>
        <v>BEV</v>
      </c>
      <c r="L8" s="1184" t="str">
        <f t="shared" si="1"/>
        <v>FCEV</v>
      </c>
      <c r="M8" s="1185">
        <f t="shared" si="1"/>
        <v>0</v>
      </c>
      <c r="N8" s="1183" t="str">
        <f t="shared" ref="N8:S8" si="2">INDEX(TECH_OPT_DESC_Cls3,MATCH(N7,TECH_OPT_ROWS_Cls3,0))</f>
        <v>Conventional Diesel ICE</v>
      </c>
      <c r="O8" s="1184" t="str">
        <f t="shared" si="2"/>
        <v>Adv Conv</v>
      </c>
      <c r="P8" s="1184" t="str">
        <f t="shared" si="2"/>
        <v>HEV</v>
      </c>
      <c r="Q8" s="1184" t="str">
        <f t="shared" si="2"/>
        <v>BEV</v>
      </c>
      <c r="R8" s="1184" t="str">
        <f t="shared" si="2"/>
        <v>FCEV</v>
      </c>
      <c r="S8" s="1185">
        <f t="shared" si="2"/>
        <v>0</v>
      </c>
    </row>
    <row r="9" spans="1:19" ht="15.75" thickBot="1" x14ac:dyDescent="0.3">
      <c r="A9" s="1186" t="s">
        <v>3</v>
      </c>
      <c r="B9" s="1187" t="str">
        <f t="shared" ref="B9:G9" si="3">INDEX(TECH_OPT_FUEL1_Cls1,MATCH(B7,TECH_OPT_ROWS_Cls1,0))</f>
        <v>Diesel</v>
      </c>
      <c r="C9" s="1188" t="str">
        <f t="shared" si="3"/>
        <v>Diesel</v>
      </c>
      <c r="D9" s="1188" t="str">
        <f t="shared" si="3"/>
        <v>Diesel</v>
      </c>
      <c r="E9" s="1188" t="str">
        <f t="shared" si="3"/>
        <v>Electricity</v>
      </c>
      <c r="F9" s="1188" t="str">
        <f t="shared" si="3"/>
        <v>Hydrogen</v>
      </c>
      <c r="G9" s="1189" t="str">
        <f t="shared" si="3"/>
        <v>Diesel</v>
      </c>
      <c r="H9" s="1190" t="str">
        <f t="shared" ref="H9:M9" si="4">INDEX(TECH_OPT_FUEL1_Cls2,MATCH(H7,TECH_OPT_ROWS_Cls2,0))</f>
        <v>Diesel</v>
      </c>
      <c r="I9" s="1188" t="str">
        <f t="shared" si="4"/>
        <v>Diesel</v>
      </c>
      <c r="J9" s="1188" t="str">
        <f t="shared" si="4"/>
        <v>Diesel</v>
      </c>
      <c r="K9" s="1188" t="str">
        <f t="shared" si="4"/>
        <v>Electricity</v>
      </c>
      <c r="L9" s="1188" t="str">
        <f t="shared" si="4"/>
        <v>Hydrogen</v>
      </c>
      <c r="M9" s="1189" t="str">
        <f t="shared" si="4"/>
        <v>Diesel</v>
      </c>
      <c r="N9" s="1187" t="str">
        <f t="shared" ref="N9:S9" si="5">INDEX(TECH_OPT_FUEL1_Cls3,MATCH(N7,TECH_OPT_ROWS_Cls3,0))</f>
        <v>Diesel</v>
      </c>
      <c r="O9" s="1188" t="str">
        <f t="shared" si="5"/>
        <v>Diesel</v>
      </c>
      <c r="P9" s="1188" t="str">
        <f t="shared" si="5"/>
        <v>Diesel</v>
      </c>
      <c r="Q9" s="1188" t="str">
        <f t="shared" si="5"/>
        <v>Electricity</v>
      </c>
      <c r="R9" s="1188" t="str">
        <f t="shared" si="5"/>
        <v>Hydrogen</v>
      </c>
      <c r="S9" s="1189" t="str">
        <f t="shared" si="5"/>
        <v>Diesel</v>
      </c>
    </row>
    <row r="10" spans="1:19" ht="15.75" thickTop="1" x14ac:dyDescent="0.25">
      <c r="A10" s="1191">
        <v>2007</v>
      </c>
      <c r="B10" s="1192">
        <f>IF('Mkt Pen Veh-Mi'!B9=0,$B$5,($B$5-SUMPRODUCT(C10:G10,'Mkt Pen Veh-Mi'!C9:G9))/'Mkt Pen Veh-Mi'!B9)</f>
        <v>0.23038147668861172</v>
      </c>
      <c r="C10" s="1193">
        <f t="shared" ref="C10:C53" si="6">INDEX(Cls1TechACentShr,MATCH($A10,$A$10:$A$53,0))</f>
        <v>0</v>
      </c>
      <c r="D10" s="1193">
        <f t="shared" ref="D10:D53" si="7">INDEX(Cls1TechBCentShr,MATCH($A10,$A$10:$A$53,0))</f>
        <v>0</v>
      </c>
      <c r="E10" s="1193">
        <f t="shared" ref="E10:E53" si="8">INDEX(Cls1TechCCentShr,MATCH($A10,$A$10:$A$53,0))</f>
        <v>0</v>
      </c>
      <c r="F10" s="1193">
        <f t="shared" ref="F10:F53" si="9">INDEX(Cls1TechDCentShr,MATCH($A10,$A$10:$A$53,0))</f>
        <v>0</v>
      </c>
      <c r="G10" s="1218">
        <f t="shared" ref="G10:G53" si="10">INDEX(Cls1TechECentShr,MATCH($A10,$A$10:$A$53,0))</f>
        <v>0</v>
      </c>
      <c r="H10" s="1192">
        <f>IF('Mkt Pen Veh-Mi'!H9=0,$H$5,($H$5-SUMPRODUCT(I10:M10,'Mkt Pen Veh-Mi'!I9:M9))/'Mkt Pen Veh-Mi'!H9)</f>
        <v>0.61452169476443286</v>
      </c>
      <c r="I10" s="1193">
        <f t="shared" ref="I10:I53" si="11">INDEX(Cls2TechACentShr,MATCH($A10,$A$10:$A$53,0))</f>
        <v>0</v>
      </c>
      <c r="J10" s="1193">
        <f t="shared" ref="J10:J53" si="12">INDEX(Cls2TechBCentShr,MATCH($A10,$A$10:$A$53,0))</f>
        <v>0</v>
      </c>
      <c r="K10" s="1193">
        <f t="shared" ref="K10:K53" si="13">INDEX(Cls2TechCCentShr,MATCH($A10,$A$10:$A$53,0))</f>
        <v>0</v>
      </c>
      <c r="L10" s="1193">
        <f t="shared" ref="L10:L53" si="14">INDEX(Cls2TechDCentShr,MATCH($A10,$A$10:$A$53,0))</f>
        <v>0</v>
      </c>
      <c r="M10" s="1219">
        <f t="shared" ref="M10:M53" si="15">INDEX(Cls2TechECentShr,MATCH($A10,$A$10:$A$53,0))</f>
        <v>0</v>
      </c>
      <c r="N10" s="1192">
        <f>IF('Mkt Pen Veh-Mi'!N9=0,$N$5,($N$5-SUMPRODUCT(O10:S10,'Mkt Pen Veh-Mi'!O9:S9))/'Mkt Pen Veh-Mi'!N9)</f>
        <v>0.39932829612730575</v>
      </c>
      <c r="O10" s="1193">
        <f t="shared" ref="O10:O53" si="16">INDEX(Cls3TechACentShr,MATCH($A10,$A$10:$A$53,0))</f>
        <v>0</v>
      </c>
      <c r="P10" s="1193">
        <f t="shared" ref="P10:P53" si="17">INDEX(Cls3TechBCentShr,MATCH($A10,$A$10:$A$53,0))</f>
        <v>0</v>
      </c>
      <c r="Q10" s="1193">
        <f t="shared" ref="Q10:Q53" si="18">INDEX(Cls3TechCCentShr,MATCH($A10,$A$10:$A$53,0))</f>
        <v>0</v>
      </c>
      <c r="R10" s="1193">
        <f t="shared" ref="R10:R53" si="19">INDEX(Cls3TechDCentShr,MATCH($A10,$A$10:$A$53,0))</f>
        <v>0</v>
      </c>
      <c r="S10" s="1218">
        <f t="shared" ref="S10:S53" si="20">INDEX(Cls3TechECentShr,MATCH($A10,$A$10:$A$53,0))</f>
        <v>0</v>
      </c>
    </row>
    <row r="11" spans="1:19" x14ac:dyDescent="0.25">
      <c r="A11" s="1191">
        <v>2008</v>
      </c>
      <c r="B11" s="1194">
        <f>IF('Mkt Pen Veh-Mi'!B10=0,$B$5,($B$5-SUMPRODUCT(C11:G11,'Mkt Pen Veh-Mi'!C10:G10))/'Mkt Pen Veh-Mi'!B10)</f>
        <v>0.23038147668861172</v>
      </c>
      <c r="C11" s="1195">
        <f t="shared" si="6"/>
        <v>0</v>
      </c>
      <c r="D11" s="1195">
        <f t="shared" si="7"/>
        <v>0</v>
      </c>
      <c r="E11" s="1195">
        <f t="shared" si="8"/>
        <v>0</v>
      </c>
      <c r="F11" s="1195">
        <f t="shared" si="9"/>
        <v>0</v>
      </c>
      <c r="G11" s="1196">
        <f t="shared" si="10"/>
        <v>0</v>
      </c>
      <c r="H11" s="1194">
        <f>IF('Mkt Pen Veh-Mi'!H10=0,$H$5,($H$5-SUMPRODUCT(I11:M11,'Mkt Pen Veh-Mi'!I10:M10))/'Mkt Pen Veh-Mi'!H10)</f>
        <v>0.61452169476443286</v>
      </c>
      <c r="I11" s="1195">
        <f t="shared" si="11"/>
        <v>0</v>
      </c>
      <c r="J11" s="1195">
        <f t="shared" si="12"/>
        <v>0</v>
      </c>
      <c r="K11" s="1195">
        <f t="shared" si="13"/>
        <v>0</v>
      </c>
      <c r="L11" s="1195">
        <f t="shared" si="14"/>
        <v>0</v>
      </c>
      <c r="M11" s="1196">
        <f t="shared" si="15"/>
        <v>0</v>
      </c>
      <c r="N11" s="1194">
        <f>IF('Mkt Pen Veh-Mi'!N10=0,$N$5,($N$5-SUMPRODUCT(O11:S11,'Mkt Pen Veh-Mi'!O10:S10))/'Mkt Pen Veh-Mi'!N10)</f>
        <v>0.39932829612730575</v>
      </c>
      <c r="O11" s="1195">
        <f t="shared" si="16"/>
        <v>0</v>
      </c>
      <c r="P11" s="1195">
        <f t="shared" si="17"/>
        <v>0</v>
      </c>
      <c r="Q11" s="1195">
        <f t="shared" si="18"/>
        <v>0</v>
      </c>
      <c r="R11" s="1195">
        <f t="shared" si="19"/>
        <v>0</v>
      </c>
      <c r="S11" s="1196">
        <f t="shared" si="20"/>
        <v>0</v>
      </c>
    </row>
    <row r="12" spans="1:19" x14ac:dyDescent="0.25">
      <c r="A12" s="1191">
        <v>2009</v>
      </c>
      <c r="B12" s="1194">
        <f>IF('Mkt Pen Veh-Mi'!B11=0,$B$5,($B$5-SUMPRODUCT(C12:G12,'Mkt Pen Veh-Mi'!C11:G11))/'Mkt Pen Veh-Mi'!B11)</f>
        <v>0.23038147668861172</v>
      </c>
      <c r="C12" s="1195">
        <f t="shared" si="6"/>
        <v>0</v>
      </c>
      <c r="D12" s="1195">
        <f t="shared" si="7"/>
        <v>0</v>
      </c>
      <c r="E12" s="1195">
        <f t="shared" si="8"/>
        <v>0</v>
      </c>
      <c r="F12" s="1195">
        <f t="shared" si="9"/>
        <v>0</v>
      </c>
      <c r="G12" s="1196">
        <f t="shared" si="10"/>
        <v>0</v>
      </c>
      <c r="H12" s="1194">
        <f>IF('Mkt Pen Veh-Mi'!H11=0,$H$5,($H$5-SUMPRODUCT(I12:M12,'Mkt Pen Veh-Mi'!I11:M11))/'Mkt Pen Veh-Mi'!H11)</f>
        <v>0.61452169476443286</v>
      </c>
      <c r="I12" s="1195">
        <f t="shared" si="11"/>
        <v>0</v>
      </c>
      <c r="J12" s="1195">
        <f t="shared" si="12"/>
        <v>0</v>
      </c>
      <c r="K12" s="1195">
        <f t="shared" si="13"/>
        <v>0</v>
      </c>
      <c r="L12" s="1195">
        <f t="shared" si="14"/>
        <v>0</v>
      </c>
      <c r="M12" s="1196">
        <f t="shared" si="15"/>
        <v>0</v>
      </c>
      <c r="N12" s="1194">
        <f>IF('Mkt Pen Veh-Mi'!N11=0,$N$5,($N$5-SUMPRODUCT(O12:S12,'Mkt Pen Veh-Mi'!O11:S11))/'Mkt Pen Veh-Mi'!N11)</f>
        <v>0.39932829612730575</v>
      </c>
      <c r="O12" s="1195">
        <f t="shared" si="16"/>
        <v>0</v>
      </c>
      <c r="P12" s="1195">
        <f t="shared" si="17"/>
        <v>0</v>
      </c>
      <c r="Q12" s="1195">
        <f t="shared" si="18"/>
        <v>0</v>
      </c>
      <c r="R12" s="1195">
        <f t="shared" si="19"/>
        <v>0</v>
      </c>
      <c r="S12" s="1196">
        <f t="shared" si="20"/>
        <v>0</v>
      </c>
    </row>
    <row r="13" spans="1:19" x14ac:dyDescent="0.25">
      <c r="A13" s="1197">
        <v>2010</v>
      </c>
      <c r="B13" s="1198">
        <f>IF('Mkt Pen Veh-Mi'!B12=0,$B$5,($B$5-SUMPRODUCT(C13:G13,'Mkt Pen Veh-Mi'!C12:G12))/'Mkt Pen Veh-Mi'!B12)</f>
        <v>0.23038147668861172</v>
      </c>
      <c r="C13" s="1199">
        <f t="shared" si="6"/>
        <v>0</v>
      </c>
      <c r="D13" s="1199">
        <f t="shared" si="7"/>
        <v>0</v>
      </c>
      <c r="E13" s="1199">
        <f t="shared" si="8"/>
        <v>0</v>
      </c>
      <c r="F13" s="1199">
        <f t="shared" si="9"/>
        <v>0</v>
      </c>
      <c r="G13" s="1200">
        <f t="shared" si="10"/>
        <v>0</v>
      </c>
      <c r="H13" s="1198">
        <f>IF('Mkt Pen Veh-Mi'!H12=0,$H$5,($H$5-SUMPRODUCT(I13:M13,'Mkt Pen Veh-Mi'!I12:M12))/'Mkt Pen Veh-Mi'!H12)</f>
        <v>0.61452169476443286</v>
      </c>
      <c r="I13" s="1199">
        <f t="shared" si="11"/>
        <v>0</v>
      </c>
      <c r="J13" s="1199">
        <f t="shared" si="12"/>
        <v>0</v>
      </c>
      <c r="K13" s="1199">
        <f t="shared" si="13"/>
        <v>0</v>
      </c>
      <c r="L13" s="1199">
        <f t="shared" si="14"/>
        <v>0</v>
      </c>
      <c r="M13" s="1200">
        <f t="shared" si="15"/>
        <v>0</v>
      </c>
      <c r="N13" s="1198">
        <f>IF('Mkt Pen Veh-Mi'!N12=0,$N$5,($N$5-SUMPRODUCT(O13:S13,'Mkt Pen Veh-Mi'!O12:S12))/'Mkt Pen Veh-Mi'!N12)</f>
        <v>0.39932829612730575</v>
      </c>
      <c r="O13" s="1199">
        <f t="shared" si="16"/>
        <v>0</v>
      </c>
      <c r="P13" s="1199">
        <f t="shared" si="17"/>
        <v>0</v>
      </c>
      <c r="Q13" s="1199">
        <f t="shared" si="18"/>
        <v>0</v>
      </c>
      <c r="R13" s="1199">
        <f t="shared" si="19"/>
        <v>0</v>
      </c>
      <c r="S13" s="1200">
        <f t="shared" si="20"/>
        <v>0</v>
      </c>
    </row>
    <row r="14" spans="1:19" x14ac:dyDescent="0.25">
      <c r="A14" s="1191">
        <v>2011</v>
      </c>
      <c r="B14" s="1201">
        <f>IF('Mkt Pen Veh-Mi'!B13=0,$B$5,($B$5-SUMPRODUCT(C14:G14,'Mkt Pen Veh-Mi'!C13:G13))/'Mkt Pen Veh-Mi'!B13)</f>
        <v>0.23038147668861172</v>
      </c>
      <c r="C14" s="1202">
        <f t="shared" si="6"/>
        <v>0</v>
      </c>
      <c r="D14" s="1202">
        <f t="shared" si="7"/>
        <v>0</v>
      </c>
      <c r="E14" s="1202">
        <f t="shared" si="8"/>
        <v>0</v>
      </c>
      <c r="F14" s="1202">
        <f t="shared" si="9"/>
        <v>0</v>
      </c>
      <c r="G14" s="1203">
        <f t="shared" si="10"/>
        <v>0</v>
      </c>
      <c r="H14" s="1201">
        <f>IF('Mkt Pen Veh-Mi'!H13=0,$H$5,($H$5-SUMPRODUCT(I14:M14,'Mkt Pen Veh-Mi'!I13:M13))/'Mkt Pen Veh-Mi'!H13)</f>
        <v>0.61452169476443286</v>
      </c>
      <c r="I14" s="1202">
        <f t="shared" si="11"/>
        <v>0</v>
      </c>
      <c r="J14" s="1202">
        <f t="shared" si="12"/>
        <v>0</v>
      </c>
      <c r="K14" s="1202">
        <f t="shared" si="13"/>
        <v>0</v>
      </c>
      <c r="L14" s="1202">
        <f t="shared" si="14"/>
        <v>0</v>
      </c>
      <c r="M14" s="1203">
        <f t="shared" si="15"/>
        <v>0</v>
      </c>
      <c r="N14" s="1201">
        <f>IF('Mkt Pen Veh-Mi'!N13=0,$N$5,($N$5-SUMPRODUCT(O14:S14,'Mkt Pen Veh-Mi'!O13:S13))/'Mkt Pen Veh-Mi'!N13)</f>
        <v>0.39932829612730575</v>
      </c>
      <c r="O14" s="1202">
        <f t="shared" si="16"/>
        <v>0</v>
      </c>
      <c r="P14" s="1202">
        <f t="shared" si="17"/>
        <v>0</v>
      </c>
      <c r="Q14" s="1202">
        <f t="shared" si="18"/>
        <v>0</v>
      </c>
      <c r="R14" s="1202">
        <f t="shared" si="19"/>
        <v>0</v>
      </c>
      <c r="S14" s="1203">
        <f t="shared" si="20"/>
        <v>0</v>
      </c>
    </row>
    <row r="15" spans="1:19" x14ac:dyDescent="0.25">
      <c r="A15" s="1191">
        <v>2012</v>
      </c>
      <c r="B15" s="1194">
        <f>IF('Mkt Pen Veh-Mi'!B14=0,$B$5,($B$5-SUMPRODUCT(C15:G15,'Mkt Pen Veh-Mi'!C14:G14))/'Mkt Pen Veh-Mi'!B14)</f>
        <v>0.23038147668861172</v>
      </c>
      <c r="C15" s="1195">
        <f t="shared" si="6"/>
        <v>0</v>
      </c>
      <c r="D15" s="1195">
        <f t="shared" si="7"/>
        <v>0</v>
      </c>
      <c r="E15" s="1195">
        <f t="shared" si="8"/>
        <v>0</v>
      </c>
      <c r="F15" s="1195">
        <f t="shared" si="9"/>
        <v>0</v>
      </c>
      <c r="G15" s="1196">
        <f t="shared" si="10"/>
        <v>0</v>
      </c>
      <c r="H15" s="1194">
        <f>IF('Mkt Pen Veh-Mi'!H14=0,$H$5,($H$5-SUMPRODUCT(I15:M15,'Mkt Pen Veh-Mi'!I14:M14))/'Mkt Pen Veh-Mi'!H14)</f>
        <v>0.61452169476443286</v>
      </c>
      <c r="I15" s="1195">
        <f t="shared" si="11"/>
        <v>0</v>
      </c>
      <c r="J15" s="1195">
        <f t="shared" si="12"/>
        <v>0</v>
      </c>
      <c r="K15" s="1195">
        <f t="shared" si="13"/>
        <v>0</v>
      </c>
      <c r="L15" s="1195">
        <f t="shared" si="14"/>
        <v>0</v>
      </c>
      <c r="M15" s="1196">
        <f t="shared" si="15"/>
        <v>0</v>
      </c>
      <c r="N15" s="1194">
        <f>IF('Mkt Pen Veh-Mi'!N14=0,$N$5,($N$5-SUMPRODUCT(O15:S15,'Mkt Pen Veh-Mi'!O14:S14))/'Mkt Pen Veh-Mi'!N14)</f>
        <v>0.39932829612730575</v>
      </c>
      <c r="O15" s="1195">
        <f t="shared" si="16"/>
        <v>0</v>
      </c>
      <c r="P15" s="1195">
        <f t="shared" si="17"/>
        <v>0</v>
      </c>
      <c r="Q15" s="1195">
        <f t="shared" si="18"/>
        <v>0</v>
      </c>
      <c r="R15" s="1195">
        <f t="shared" si="19"/>
        <v>0</v>
      </c>
      <c r="S15" s="1196">
        <f t="shared" si="20"/>
        <v>0</v>
      </c>
    </row>
    <row r="16" spans="1:19" x14ac:dyDescent="0.25">
      <c r="A16" s="1191">
        <v>2013</v>
      </c>
      <c r="B16" s="1194">
        <f>IF('Mkt Pen Veh-Mi'!B15=0,$B$5,($B$5-SUMPRODUCT(C16:G16,'Mkt Pen Veh-Mi'!C15:G15))/'Mkt Pen Veh-Mi'!B15)</f>
        <v>0.23038147668861172</v>
      </c>
      <c r="C16" s="1195">
        <f t="shared" si="6"/>
        <v>0</v>
      </c>
      <c r="D16" s="1195">
        <f t="shared" si="7"/>
        <v>0</v>
      </c>
      <c r="E16" s="1195">
        <f t="shared" si="8"/>
        <v>0</v>
      </c>
      <c r="F16" s="1195">
        <f t="shared" si="9"/>
        <v>0</v>
      </c>
      <c r="G16" s="1196">
        <f t="shared" si="10"/>
        <v>0</v>
      </c>
      <c r="H16" s="1194">
        <f>IF('Mkt Pen Veh-Mi'!H15=0,$H$5,($H$5-SUMPRODUCT(I16:M16,'Mkt Pen Veh-Mi'!I15:M15))/'Mkt Pen Veh-Mi'!H15)</f>
        <v>0.61452169476443286</v>
      </c>
      <c r="I16" s="1195">
        <f t="shared" si="11"/>
        <v>0</v>
      </c>
      <c r="J16" s="1195">
        <f t="shared" si="12"/>
        <v>0</v>
      </c>
      <c r="K16" s="1195">
        <f t="shared" si="13"/>
        <v>0</v>
      </c>
      <c r="L16" s="1195">
        <f t="shared" si="14"/>
        <v>0</v>
      </c>
      <c r="M16" s="1196">
        <f t="shared" si="15"/>
        <v>0</v>
      </c>
      <c r="N16" s="1194">
        <f>IF('Mkt Pen Veh-Mi'!N15=0,$N$5,($N$5-SUMPRODUCT(O16:S16,'Mkt Pen Veh-Mi'!O15:S15))/'Mkt Pen Veh-Mi'!N15)</f>
        <v>0.39932829612730575</v>
      </c>
      <c r="O16" s="1195">
        <f t="shared" si="16"/>
        <v>0</v>
      </c>
      <c r="P16" s="1195">
        <f t="shared" si="17"/>
        <v>0</v>
      </c>
      <c r="Q16" s="1195">
        <f t="shared" si="18"/>
        <v>0</v>
      </c>
      <c r="R16" s="1195">
        <f t="shared" si="19"/>
        <v>0</v>
      </c>
      <c r="S16" s="1196">
        <f t="shared" si="20"/>
        <v>0</v>
      </c>
    </row>
    <row r="17" spans="1:19" x14ac:dyDescent="0.25">
      <c r="A17" s="1191">
        <v>2014</v>
      </c>
      <c r="B17" s="1194">
        <f>IF('Mkt Pen Veh-Mi'!B16=0,$B$5,($B$5-SUMPRODUCT(C17:G17,'Mkt Pen Veh-Mi'!C16:G16))/'Mkt Pen Veh-Mi'!B16)</f>
        <v>0.23038147668861172</v>
      </c>
      <c r="C17" s="1195">
        <f t="shared" si="6"/>
        <v>0</v>
      </c>
      <c r="D17" s="1195">
        <f t="shared" si="7"/>
        <v>0</v>
      </c>
      <c r="E17" s="1195">
        <f t="shared" si="8"/>
        <v>0</v>
      </c>
      <c r="F17" s="1195">
        <f t="shared" si="9"/>
        <v>0</v>
      </c>
      <c r="G17" s="1196">
        <f t="shared" si="10"/>
        <v>0</v>
      </c>
      <c r="H17" s="1194">
        <f>IF('Mkt Pen Veh-Mi'!H16=0,$H$5,($H$5-SUMPRODUCT(I17:M17,'Mkt Pen Veh-Mi'!I16:M16))/'Mkt Pen Veh-Mi'!H16)</f>
        <v>0.61452169476443286</v>
      </c>
      <c r="I17" s="1195">
        <f t="shared" si="11"/>
        <v>0</v>
      </c>
      <c r="J17" s="1195">
        <f t="shared" si="12"/>
        <v>0</v>
      </c>
      <c r="K17" s="1195">
        <f t="shared" si="13"/>
        <v>0</v>
      </c>
      <c r="L17" s="1195">
        <f t="shared" si="14"/>
        <v>0</v>
      </c>
      <c r="M17" s="1196">
        <f t="shared" si="15"/>
        <v>0</v>
      </c>
      <c r="N17" s="1194">
        <f>IF('Mkt Pen Veh-Mi'!N16=0,$N$5,($N$5-SUMPRODUCT(O17:S17,'Mkt Pen Veh-Mi'!O16:S16))/'Mkt Pen Veh-Mi'!N16)</f>
        <v>0.39932829612730575</v>
      </c>
      <c r="O17" s="1195">
        <f t="shared" si="16"/>
        <v>0</v>
      </c>
      <c r="P17" s="1195">
        <f t="shared" si="17"/>
        <v>0</v>
      </c>
      <c r="Q17" s="1195">
        <f t="shared" si="18"/>
        <v>0</v>
      </c>
      <c r="R17" s="1195">
        <f t="shared" si="19"/>
        <v>0</v>
      </c>
      <c r="S17" s="1196">
        <f t="shared" si="20"/>
        <v>0</v>
      </c>
    </row>
    <row r="18" spans="1:19" x14ac:dyDescent="0.25">
      <c r="A18" s="1197">
        <v>2015</v>
      </c>
      <c r="B18" s="1198">
        <f>IF('Mkt Pen Veh-Mi'!B17=0,$B$5,($B$5-SUMPRODUCT(C18:G18,'Mkt Pen Veh-Mi'!C17:G17))/'Mkt Pen Veh-Mi'!B17)</f>
        <v>0.23038147668861172</v>
      </c>
      <c r="C18" s="1199">
        <f t="shared" si="6"/>
        <v>0</v>
      </c>
      <c r="D18" s="1199">
        <f t="shared" si="7"/>
        <v>0</v>
      </c>
      <c r="E18" s="1199">
        <f t="shared" si="8"/>
        <v>0</v>
      </c>
      <c r="F18" s="1199">
        <f t="shared" si="9"/>
        <v>0</v>
      </c>
      <c r="G18" s="1200">
        <f t="shared" si="10"/>
        <v>0</v>
      </c>
      <c r="H18" s="1198">
        <f>IF('Mkt Pen Veh-Mi'!H17=0,$H$5,($H$5-SUMPRODUCT(I18:M18,'Mkt Pen Veh-Mi'!I17:M17))/'Mkt Pen Veh-Mi'!H17)</f>
        <v>0.61452169476443286</v>
      </c>
      <c r="I18" s="1199">
        <f t="shared" si="11"/>
        <v>0</v>
      </c>
      <c r="J18" s="1199">
        <f t="shared" si="12"/>
        <v>0</v>
      </c>
      <c r="K18" s="1199">
        <f t="shared" si="13"/>
        <v>0</v>
      </c>
      <c r="L18" s="1199">
        <f t="shared" si="14"/>
        <v>0</v>
      </c>
      <c r="M18" s="1200">
        <f t="shared" si="15"/>
        <v>0</v>
      </c>
      <c r="N18" s="1198">
        <f>IF('Mkt Pen Veh-Mi'!N17=0,$N$5,($N$5-SUMPRODUCT(O18:S18,'Mkt Pen Veh-Mi'!O17:S17))/'Mkt Pen Veh-Mi'!N17)</f>
        <v>0.39932829612730575</v>
      </c>
      <c r="O18" s="1199">
        <f t="shared" si="16"/>
        <v>0</v>
      </c>
      <c r="P18" s="1199">
        <f t="shared" si="17"/>
        <v>0</v>
      </c>
      <c r="Q18" s="1199">
        <f t="shared" si="18"/>
        <v>0</v>
      </c>
      <c r="R18" s="1199">
        <f t="shared" si="19"/>
        <v>0</v>
      </c>
      <c r="S18" s="1200">
        <f t="shared" si="20"/>
        <v>0</v>
      </c>
    </row>
    <row r="19" spans="1:19" x14ac:dyDescent="0.25">
      <c r="A19" s="1191">
        <v>2016</v>
      </c>
      <c r="B19" s="1201">
        <f>IF('Mkt Pen Veh-Mi'!B18=0,$B$5,($B$5-SUMPRODUCT(C19:G19,'Mkt Pen Veh-Mi'!C18:G18))/'Mkt Pen Veh-Mi'!B18)</f>
        <v>0.23038147668861172</v>
      </c>
      <c r="C19" s="1202">
        <f t="shared" si="6"/>
        <v>0</v>
      </c>
      <c r="D19" s="1202">
        <f t="shared" si="7"/>
        <v>0</v>
      </c>
      <c r="E19" s="1202">
        <f t="shared" si="8"/>
        <v>0</v>
      </c>
      <c r="F19" s="1202">
        <f t="shared" si="9"/>
        <v>0</v>
      </c>
      <c r="G19" s="1203">
        <f t="shared" si="10"/>
        <v>0</v>
      </c>
      <c r="H19" s="1201">
        <f>IF('Mkt Pen Veh-Mi'!H18=0,$H$5,($H$5-SUMPRODUCT(I19:M19,'Mkt Pen Veh-Mi'!I18:M18))/'Mkt Pen Veh-Mi'!H18)</f>
        <v>0.61452169476443286</v>
      </c>
      <c r="I19" s="1202">
        <f t="shared" si="11"/>
        <v>0</v>
      </c>
      <c r="J19" s="1202">
        <f t="shared" si="12"/>
        <v>0</v>
      </c>
      <c r="K19" s="1202">
        <f t="shared" si="13"/>
        <v>0</v>
      </c>
      <c r="L19" s="1202">
        <f t="shared" si="14"/>
        <v>0</v>
      </c>
      <c r="M19" s="1203">
        <f t="shared" si="15"/>
        <v>0</v>
      </c>
      <c r="N19" s="1201">
        <f>IF('Mkt Pen Veh-Mi'!N18=0,$N$5,($N$5-SUMPRODUCT(O19:S19,'Mkt Pen Veh-Mi'!O18:S18))/'Mkt Pen Veh-Mi'!N18)</f>
        <v>0.39932829612730575</v>
      </c>
      <c r="O19" s="1202">
        <f t="shared" si="16"/>
        <v>0</v>
      </c>
      <c r="P19" s="1202">
        <f t="shared" si="17"/>
        <v>0</v>
      </c>
      <c r="Q19" s="1202">
        <f t="shared" si="18"/>
        <v>0</v>
      </c>
      <c r="R19" s="1202">
        <f t="shared" si="19"/>
        <v>0</v>
      </c>
      <c r="S19" s="1203">
        <f t="shared" si="20"/>
        <v>0</v>
      </c>
    </row>
    <row r="20" spans="1:19" x14ac:dyDescent="0.25">
      <c r="A20" s="1191">
        <v>2017</v>
      </c>
      <c r="B20" s="1194">
        <f>IF('Mkt Pen Veh-Mi'!B19=0,$B$5,($B$5-SUMPRODUCT(C20:G20,'Mkt Pen Veh-Mi'!C19:G19))/'Mkt Pen Veh-Mi'!B19)</f>
        <v>0.23038147668861172</v>
      </c>
      <c r="C20" s="1195">
        <f t="shared" si="6"/>
        <v>0</v>
      </c>
      <c r="D20" s="1195">
        <f t="shared" si="7"/>
        <v>0</v>
      </c>
      <c r="E20" s="1195">
        <f t="shared" si="8"/>
        <v>0</v>
      </c>
      <c r="F20" s="1195">
        <f t="shared" si="9"/>
        <v>0</v>
      </c>
      <c r="G20" s="1196">
        <f t="shared" si="10"/>
        <v>0</v>
      </c>
      <c r="H20" s="1194">
        <f>IF('Mkt Pen Veh-Mi'!H19=0,$H$5,($H$5-SUMPRODUCT(I20:M20,'Mkt Pen Veh-Mi'!I19:M19))/'Mkt Pen Veh-Mi'!H19)</f>
        <v>0.61452169476443286</v>
      </c>
      <c r="I20" s="1195">
        <f t="shared" si="11"/>
        <v>0</v>
      </c>
      <c r="J20" s="1195">
        <f t="shared" si="12"/>
        <v>0</v>
      </c>
      <c r="K20" s="1195">
        <f t="shared" si="13"/>
        <v>0</v>
      </c>
      <c r="L20" s="1195">
        <f t="shared" si="14"/>
        <v>0</v>
      </c>
      <c r="M20" s="1196">
        <f t="shared" si="15"/>
        <v>0</v>
      </c>
      <c r="N20" s="1194">
        <f>IF('Mkt Pen Veh-Mi'!N19=0,$N$5,($N$5-SUMPRODUCT(O20:S20,'Mkt Pen Veh-Mi'!O19:S19))/'Mkt Pen Veh-Mi'!N19)</f>
        <v>0.39932829612730575</v>
      </c>
      <c r="O20" s="1195">
        <f t="shared" si="16"/>
        <v>0</v>
      </c>
      <c r="P20" s="1195">
        <f t="shared" si="17"/>
        <v>0</v>
      </c>
      <c r="Q20" s="1195">
        <f t="shared" si="18"/>
        <v>0</v>
      </c>
      <c r="R20" s="1195">
        <f t="shared" si="19"/>
        <v>0</v>
      </c>
      <c r="S20" s="1196">
        <f t="shared" si="20"/>
        <v>0</v>
      </c>
    </row>
    <row r="21" spans="1:19" x14ac:dyDescent="0.25">
      <c r="A21" s="1191">
        <v>2018</v>
      </c>
      <c r="B21" s="1194">
        <f>IF('Mkt Pen Veh-Mi'!B20=0,$B$5,($B$5-SUMPRODUCT(C21:G21,'Mkt Pen Veh-Mi'!C20:G20))/'Mkt Pen Veh-Mi'!B20)</f>
        <v>0.23038147668861172</v>
      </c>
      <c r="C21" s="1195">
        <f t="shared" si="6"/>
        <v>0</v>
      </c>
      <c r="D21" s="1195">
        <f t="shared" si="7"/>
        <v>0</v>
      </c>
      <c r="E21" s="1195">
        <f t="shared" si="8"/>
        <v>0</v>
      </c>
      <c r="F21" s="1195">
        <f t="shared" si="9"/>
        <v>0</v>
      </c>
      <c r="G21" s="1196">
        <f t="shared" si="10"/>
        <v>0</v>
      </c>
      <c r="H21" s="1194">
        <f>IF('Mkt Pen Veh-Mi'!H20=0,$H$5,($H$5-SUMPRODUCT(I21:M21,'Mkt Pen Veh-Mi'!I20:M20))/'Mkt Pen Veh-Mi'!H20)</f>
        <v>0.61452169476443286</v>
      </c>
      <c r="I21" s="1195">
        <f t="shared" si="11"/>
        <v>0</v>
      </c>
      <c r="J21" s="1195">
        <f t="shared" si="12"/>
        <v>0</v>
      </c>
      <c r="K21" s="1195">
        <f t="shared" si="13"/>
        <v>0</v>
      </c>
      <c r="L21" s="1195">
        <f t="shared" si="14"/>
        <v>0</v>
      </c>
      <c r="M21" s="1196">
        <f t="shared" si="15"/>
        <v>0</v>
      </c>
      <c r="N21" s="1194">
        <f>IF('Mkt Pen Veh-Mi'!N20=0,$N$5,($N$5-SUMPRODUCT(O21:S21,'Mkt Pen Veh-Mi'!O20:S20))/'Mkt Pen Veh-Mi'!N20)</f>
        <v>0.39932829612730575</v>
      </c>
      <c r="O21" s="1195">
        <f t="shared" si="16"/>
        <v>0</v>
      </c>
      <c r="P21" s="1195">
        <f t="shared" si="17"/>
        <v>0</v>
      </c>
      <c r="Q21" s="1195">
        <f t="shared" si="18"/>
        <v>0</v>
      </c>
      <c r="R21" s="1195">
        <f t="shared" si="19"/>
        <v>0</v>
      </c>
      <c r="S21" s="1196">
        <f t="shared" si="20"/>
        <v>0</v>
      </c>
    </row>
    <row r="22" spans="1:19" x14ac:dyDescent="0.25">
      <c r="A22" s="1191">
        <v>2019</v>
      </c>
      <c r="B22" s="1194">
        <f>IF('Mkt Pen Veh-Mi'!B21=0,$B$5,($B$5-SUMPRODUCT(C22:G22,'Mkt Pen Veh-Mi'!C21:G21))/'Mkt Pen Veh-Mi'!B21)</f>
        <v>0.23038147668861172</v>
      </c>
      <c r="C22" s="1195">
        <f t="shared" si="6"/>
        <v>0</v>
      </c>
      <c r="D22" s="1195">
        <f t="shared" si="7"/>
        <v>0</v>
      </c>
      <c r="E22" s="1195">
        <f t="shared" si="8"/>
        <v>0</v>
      </c>
      <c r="F22" s="1195">
        <f t="shared" si="9"/>
        <v>0</v>
      </c>
      <c r="G22" s="1196">
        <f t="shared" si="10"/>
        <v>0</v>
      </c>
      <c r="H22" s="1194">
        <f>IF('Mkt Pen Veh-Mi'!H21=0,$H$5,($H$5-SUMPRODUCT(I22:M22,'Mkt Pen Veh-Mi'!I21:M21))/'Mkt Pen Veh-Mi'!H21)</f>
        <v>0.61452169476443286</v>
      </c>
      <c r="I22" s="1195">
        <f t="shared" si="11"/>
        <v>0</v>
      </c>
      <c r="J22" s="1195">
        <f t="shared" si="12"/>
        <v>0</v>
      </c>
      <c r="K22" s="1195">
        <f t="shared" si="13"/>
        <v>0</v>
      </c>
      <c r="L22" s="1195">
        <f t="shared" si="14"/>
        <v>0</v>
      </c>
      <c r="M22" s="1196">
        <f t="shared" si="15"/>
        <v>0</v>
      </c>
      <c r="N22" s="1194">
        <f>IF('Mkt Pen Veh-Mi'!N21=0,$N$5,($N$5-SUMPRODUCT(O22:S22,'Mkt Pen Veh-Mi'!O21:S21))/'Mkt Pen Veh-Mi'!N21)</f>
        <v>0.39932829612730575</v>
      </c>
      <c r="O22" s="1195">
        <f t="shared" si="16"/>
        <v>0</v>
      </c>
      <c r="P22" s="1195">
        <f t="shared" si="17"/>
        <v>0</v>
      </c>
      <c r="Q22" s="1195">
        <f t="shared" si="18"/>
        <v>0</v>
      </c>
      <c r="R22" s="1195">
        <f t="shared" si="19"/>
        <v>0</v>
      </c>
      <c r="S22" s="1196">
        <f t="shared" si="20"/>
        <v>0</v>
      </c>
    </row>
    <row r="23" spans="1:19" x14ac:dyDescent="0.25">
      <c r="A23" s="1197">
        <v>2020</v>
      </c>
      <c r="B23" s="1198">
        <f>IF('Mkt Pen Veh-Mi'!B22=0,$B$5,($B$5-SUMPRODUCT(C23:G23,'Mkt Pen Veh-Mi'!C22:G22))/'Mkt Pen Veh-Mi'!B22)</f>
        <v>0.23038147668861172</v>
      </c>
      <c r="C23" s="1199">
        <f t="shared" si="6"/>
        <v>0</v>
      </c>
      <c r="D23" s="1199">
        <f t="shared" si="7"/>
        <v>0</v>
      </c>
      <c r="E23" s="1199">
        <f t="shared" si="8"/>
        <v>0</v>
      </c>
      <c r="F23" s="1199">
        <f t="shared" si="9"/>
        <v>0</v>
      </c>
      <c r="G23" s="1200">
        <f t="shared" si="10"/>
        <v>0</v>
      </c>
      <c r="H23" s="1198">
        <f>IF('Mkt Pen Veh-Mi'!H22=0,$H$5,($H$5-SUMPRODUCT(I23:M23,'Mkt Pen Veh-Mi'!I22:M22))/'Mkt Pen Veh-Mi'!H22)</f>
        <v>0.61452169476443286</v>
      </c>
      <c r="I23" s="1199">
        <f t="shared" si="11"/>
        <v>0</v>
      </c>
      <c r="J23" s="1199">
        <f t="shared" si="12"/>
        <v>0</v>
      </c>
      <c r="K23" s="1199">
        <f t="shared" si="13"/>
        <v>0</v>
      </c>
      <c r="L23" s="1199">
        <f t="shared" si="14"/>
        <v>0</v>
      </c>
      <c r="M23" s="1200">
        <f t="shared" si="15"/>
        <v>0</v>
      </c>
      <c r="N23" s="1198">
        <f>IF('Mkt Pen Veh-Mi'!N22=0,$N$5,($N$5-SUMPRODUCT(O23:S23,'Mkt Pen Veh-Mi'!O22:S22))/'Mkt Pen Veh-Mi'!N22)</f>
        <v>0.39932829612730575</v>
      </c>
      <c r="O23" s="1199">
        <f t="shared" si="16"/>
        <v>0</v>
      </c>
      <c r="P23" s="1199">
        <f t="shared" si="17"/>
        <v>0</v>
      </c>
      <c r="Q23" s="1199">
        <f t="shared" si="18"/>
        <v>0</v>
      </c>
      <c r="R23" s="1199">
        <f t="shared" si="19"/>
        <v>0</v>
      </c>
      <c r="S23" s="1200">
        <f t="shared" si="20"/>
        <v>0</v>
      </c>
    </row>
    <row r="24" spans="1:19" x14ac:dyDescent="0.25">
      <c r="A24" s="1191">
        <v>2021</v>
      </c>
      <c r="B24" s="1201">
        <f>IF('Mkt Pen Veh-Mi'!B23=0,$B$5,($B$5-SUMPRODUCT(C24:G24,'Mkt Pen Veh-Mi'!C23:G23))/'Mkt Pen Veh-Mi'!B23)</f>
        <v>0.23038147668861172</v>
      </c>
      <c r="C24" s="1202">
        <f t="shared" si="6"/>
        <v>0</v>
      </c>
      <c r="D24" s="1202">
        <f t="shared" si="7"/>
        <v>0</v>
      </c>
      <c r="E24" s="1202">
        <f t="shared" si="8"/>
        <v>0</v>
      </c>
      <c r="F24" s="1202">
        <f t="shared" si="9"/>
        <v>0</v>
      </c>
      <c r="G24" s="1203">
        <f t="shared" si="10"/>
        <v>0</v>
      </c>
      <c r="H24" s="1201">
        <f>IF('Mkt Pen Veh-Mi'!H23=0,$H$5,($H$5-SUMPRODUCT(I24:M24,'Mkt Pen Veh-Mi'!I23:M23))/'Mkt Pen Veh-Mi'!H23)</f>
        <v>0.61452169476443286</v>
      </c>
      <c r="I24" s="1202">
        <f t="shared" si="11"/>
        <v>0</v>
      </c>
      <c r="J24" s="1202">
        <f t="shared" si="12"/>
        <v>0</v>
      </c>
      <c r="K24" s="1202">
        <f t="shared" si="13"/>
        <v>0</v>
      </c>
      <c r="L24" s="1202">
        <f t="shared" si="14"/>
        <v>0</v>
      </c>
      <c r="M24" s="1203">
        <f t="shared" si="15"/>
        <v>0</v>
      </c>
      <c r="N24" s="1201">
        <f>IF('Mkt Pen Veh-Mi'!N23=0,$N$5,($N$5-SUMPRODUCT(O24:S24,'Mkt Pen Veh-Mi'!O23:S23))/'Mkt Pen Veh-Mi'!N23)</f>
        <v>0.39932829612730575</v>
      </c>
      <c r="O24" s="1202">
        <f t="shared" si="16"/>
        <v>0</v>
      </c>
      <c r="P24" s="1202">
        <f t="shared" si="17"/>
        <v>0</v>
      </c>
      <c r="Q24" s="1202">
        <f t="shared" si="18"/>
        <v>0</v>
      </c>
      <c r="R24" s="1202">
        <f t="shared" si="19"/>
        <v>0</v>
      </c>
      <c r="S24" s="1203">
        <f t="shared" si="20"/>
        <v>0</v>
      </c>
    </row>
    <row r="25" spans="1:19" x14ac:dyDescent="0.25">
      <c r="A25" s="1191">
        <v>2022</v>
      </c>
      <c r="B25" s="1194">
        <f>IF('Mkt Pen Veh-Mi'!B24=0,$B$5,($B$5-SUMPRODUCT(C25:G25,'Mkt Pen Veh-Mi'!C24:G24))/'Mkt Pen Veh-Mi'!B24)</f>
        <v>0.23038147668861172</v>
      </c>
      <c r="C25" s="1195">
        <f t="shared" si="6"/>
        <v>0</v>
      </c>
      <c r="D25" s="1195">
        <f t="shared" si="7"/>
        <v>0</v>
      </c>
      <c r="E25" s="1195">
        <f t="shared" si="8"/>
        <v>0</v>
      </c>
      <c r="F25" s="1195">
        <f t="shared" si="9"/>
        <v>0</v>
      </c>
      <c r="G25" s="1196">
        <f t="shared" si="10"/>
        <v>0</v>
      </c>
      <c r="H25" s="1194">
        <f>IF('Mkt Pen Veh-Mi'!H24=0,$H$5,($H$5-SUMPRODUCT(I25:M25,'Mkt Pen Veh-Mi'!I24:M24))/'Mkt Pen Veh-Mi'!H24)</f>
        <v>0.61452169476443286</v>
      </c>
      <c r="I25" s="1195">
        <f t="shared" si="11"/>
        <v>0</v>
      </c>
      <c r="J25" s="1195">
        <f t="shared" si="12"/>
        <v>0</v>
      </c>
      <c r="K25" s="1195">
        <f t="shared" si="13"/>
        <v>0</v>
      </c>
      <c r="L25" s="1195">
        <f t="shared" si="14"/>
        <v>0</v>
      </c>
      <c r="M25" s="1196">
        <f t="shared" si="15"/>
        <v>0</v>
      </c>
      <c r="N25" s="1194">
        <f>IF('Mkt Pen Veh-Mi'!N24=0,$N$5,($N$5-SUMPRODUCT(O25:S25,'Mkt Pen Veh-Mi'!O24:S24))/'Mkt Pen Veh-Mi'!N24)</f>
        <v>0.39932829612730575</v>
      </c>
      <c r="O25" s="1195">
        <f t="shared" si="16"/>
        <v>0</v>
      </c>
      <c r="P25" s="1195">
        <f t="shared" si="17"/>
        <v>0</v>
      </c>
      <c r="Q25" s="1195">
        <f t="shared" si="18"/>
        <v>0</v>
      </c>
      <c r="R25" s="1195">
        <f t="shared" si="19"/>
        <v>0</v>
      </c>
      <c r="S25" s="1196">
        <f t="shared" si="20"/>
        <v>0</v>
      </c>
    </row>
    <row r="26" spans="1:19" x14ac:dyDescent="0.25">
      <c r="A26" s="1191">
        <v>2023</v>
      </c>
      <c r="B26" s="1194">
        <f>IF('Mkt Pen Veh-Mi'!B25=0,$B$5,($B$5-SUMPRODUCT(C26:G26,'Mkt Pen Veh-Mi'!C25:G25))/'Mkt Pen Veh-Mi'!B25)</f>
        <v>0.23038147668861172</v>
      </c>
      <c r="C26" s="1195">
        <f t="shared" si="6"/>
        <v>0</v>
      </c>
      <c r="D26" s="1195">
        <f t="shared" si="7"/>
        <v>0</v>
      </c>
      <c r="E26" s="1195">
        <f t="shared" si="8"/>
        <v>0</v>
      </c>
      <c r="F26" s="1195">
        <f t="shared" si="9"/>
        <v>0</v>
      </c>
      <c r="G26" s="1196">
        <f t="shared" si="10"/>
        <v>0</v>
      </c>
      <c r="H26" s="1194">
        <f>IF('Mkt Pen Veh-Mi'!H25=0,$H$5,($H$5-SUMPRODUCT(I26:M26,'Mkt Pen Veh-Mi'!I25:M25))/'Mkt Pen Veh-Mi'!H25)</f>
        <v>0.61452169476443286</v>
      </c>
      <c r="I26" s="1195">
        <f t="shared" si="11"/>
        <v>0</v>
      </c>
      <c r="J26" s="1195">
        <f t="shared" si="12"/>
        <v>0</v>
      </c>
      <c r="K26" s="1195">
        <f t="shared" si="13"/>
        <v>0</v>
      </c>
      <c r="L26" s="1195">
        <f t="shared" si="14"/>
        <v>0</v>
      </c>
      <c r="M26" s="1196">
        <f t="shared" si="15"/>
        <v>0</v>
      </c>
      <c r="N26" s="1194">
        <f>IF('Mkt Pen Veh-Mi'!N25=0,$N$5,($N$5-SUMPRODUCT(O26:S26,'Mkt Pen Veh-Mi'!O25:S25))/'Mkt Pen Veh-Mi'!N25)</f>
        <v>0.39932829612730575</v>
      </c>
      <c r="O26" s="1195">
        <f t="shared" si="16"/>
        <v>0</v>
      </c>
      <c r="P26" s="1195">
        <f t="shared" si="17"/>
        <v>0</v>
      </c>
      <c r="Q26" s="1195">
        <f t="shared" si="18"/>
        <v>0</v>
      </c>
      <c r="R26" s="1195">
        <f t="shared" si="19"/>
        <v>0</v>
      </c>
      <c r="S26" s="1196">
        <f t="shared" si="20"/>
        <v>0</v>
      </c>
    </row>
    <row r="27" spans="1:19" x14ac:dyDescent="0.25">
      <c r="A27" s="1191">
        <v>2024</v>
      </c>
      <c r="B27" s="1194">
        <f>IF('Mkt Pen Veh-Mi'!B26=0,$B$5,($B$5-SUMPRODUCT(C27:G27,'Mkt Pen Veh-Mi'!C26:G26))/'Mkt Pen Veh-Mi'!B26)</f>
        <v>0.23038147668861172</v>
      </c>
      <c r="C27" s="1195">
        <f t="shared" si="6"/>
        <v>0</v>
      </c>
      <c r="D27" s="1195">
        <f t="shared" si="7"/>
        <v>0</v>
      </c>
      <c r="E27" s="1195">
        <f t="shared" si="8"/>
        <v>0</v>
      </c>
      <c r="F27" s="1195">
        <f t="shared" si="9"/>
        <v>0</v>
      </c>
      <c r="G27" s="1196">
        <f t="shared" si="10"/>
        <v>0</v>
      </c>
      <c r="H27" s="1194">
        <f>IF('Mkt Pen Veh-Mi'!H26=0,$H$5,($H$5-SUMPRODUCT(I27:M27,'Mkt Pen Veh-Mi'!I26:M26))/'Mkt Pen Veh-Mi'!H26)</f>
        <v>0.61452169476443286</v>
      </c>
      <c r="I27" s="1195">
        <f t="shared" si="11"/>
        <v>0</v>
      </c>
      <c r="J27" s="1195">
        <f t="shared" si="12"/>
        <v>0</v>
      </c>
      <c r="K27" s="1195">
        <f t="shared" si="13"/>
        <v>0</v>
      </c>
      <c r="L27" s="1195">
        <f t="shared" si="14"/>
        <v>0</v>
      </c>
      <c r="M27" s="1196">
        <f t="shared" si="15"/>
        <v>0</v>
      </c>
      <c r="N27" s="1194">
        <f>IF('Mkt Pen Veh-Mi'!N26=0,$N$5,($N$5-SUMPRODUCT(O27:S27,'Mkt Pen Veh-Mi'!O26:S26))/'Mkt Pen Veh-Mi'!N26)</f>
        <v>0.39932829612730575</v>
      </c>
      <c r="O27" s="1195">
        <f t="shared" si="16"/>
        <v>0</v>
      </c>
      <c r="P27" s="1195">
        <f t="shared" si="17"/>
        <v>0</v>
      </c>
      <c r="Q27" s="1195">
        <f t="shared" si="18"/>
        <v>0</v>
      </c>
      <c r="R27" s="1195">
        <f t="shared" si="19"/>
        <v>0</v>
      </c>
      <c r="S27" s="1196">
        <f t="shared" si="20"/>
        <v>0</v>
      </c>
    </row>
    <row r="28" spans="1:19" x14ac:dyDescent="0.25">
      <c r="A28" s="1197">
        <v>2025</v>
      </c>
      <c r="B28" s="1198">
        <f>IF('Mkt Pen Veh-Mi'!B27=0,$B$5,($B$5-SUMPRODUCT(C28:G28,'Mkt Pen Veh-Mi'!C27:G27))/'Mkt Pen Veh-Mi'!B27)</f>
        <v>0.23038147668861172</v>
      </c>
      <c r="C28" s="1199">
        <f t="shared" si="6"/>
        <v>0</v>
      </c>
      <c r="D28" s="1199">
        <f t="shared" si="7"/>
        <v>0</v>
      </c>
      <c r="E28" s="1199">
        <f t="shared" si="8"/>
        <v>0</v>
      </c>
      <c r="F28" s="1199">
        <f t="shared" si="9"/>
        <v>0</v>
      </c>
      <c r="G28" s="1200">
        <f t="shared" si="10"/>
        <v>0</v>
      </c>
      <c r="H28" s="1198">
        <f>IF('Mkt Pen Veh-Mi'!H27=0,$H$5,($H$5-SUMPRODUCT(I28:M28,'Mkt Pen Veh-Mi'!I27:M27))/'Mkt Pen Veh-Mi'!H27)</f>
        <v>0.61452169476443286</v>
      </c>
      <c r="I28" s="1199">
        <f t="shared" si="11"/>
        <v>0</v>
      </c>
      <c r="J28" s="1199">
        <f t="shared" si="12"/>
        <v>0</v>
      </c>
      <c r="K28" s="1199">
        <f t="shared" si="13"/>
        <v>0</v>
      </c>
      <c r="L28" s="1199">
        <f t="shared" si="14"/>
        <v>0</v>
      </c>
      <c r="M28" s="1200">
        <f t="shared" si="15"/>
        <v>0</v>
      </c>
      <c r="N28" s="1198">
        <f>IF('Mkt Pen Veh-Mi'!N27=0,$N$5,($N$5-SUMPRODUCT(O28:S28,'Mkt Pen Veh-Mi'!O27:S27))/'Mkt Pen Veh-Mi'!N27)</f>
        <v>0.39932829612730575</v>
      </c>
      <c r="O28" s="1199">
        <f t="shared" si="16"/>
        <v>0</v>
      </c>
      <c r="P28" s="1199">
        <f t="shared" si="17"/>
        <v>0</v>
      </c>
      <c r="Q28" s="1199">
        <f t="shared" si="18"/>
        <v>0</v>
      </c>
      <c r="R28" s="1199">
        <f t="shared" si="19"/>
        <v>0</v>
      </c>
      <c r="S28" s="1200">
        <f t="shared" si="20"/>
        <v>0</v>
      </c>
    </row>
    <row r="29" spans="1:19" x14ac:dyDescent="0.25">
      <c r="A29" s="1191">
        <v>2026</v>
      </c>
      <c r="B29" s="1201">
        <f>IF('Mkt Pen Veh-Mi'!B28=0,$B$5,($B$5-SUMPRODUCT(C29:G29,'Mkt Pen Veh-Mi'!C28:G28))/'Mkt Pen Veh-Mi'!B28)</f>
        <v>0.23082868055479655</v>
      </c>
      <c r="C29" s="1202">
        <f t="shared" si="6"/>
        <v>0.21732345455423216</v>
      </c>
      <c r="D29" s="1202">
        <f t="shared" si="7"/>
        <v>0.21355589318164722</v>
      </c>
      <c r="E29" s="1202">
        <f t="shared" si="8"/>
        <v>0</v>
      </c>
      <c r="F29" s="1202">
        <f t="shared" si="9"/>
        <v>0</v>
      </c>
      <c r="G29" s="1203">
        <f t="shared" si="10"/>
        <v>0</v>
      </c>
      <c r="H29" s="1201">
        <f>IF('Mkt Pen Veh-Mi'!H28=0,$H$5,($H$5-SUMPRODUCT(I29:M29,'Mkt Pen Veh-Mi'!I28:M28))/'Mkt Pen Veh-Mi'!H28)</f>
        <v>0.61422337171384767</v>
      </c>
      <c r="I29" s="1202">
        <f t="shared" si="11"/>
        <v>0.62367086081760292</v>
      </c>
      <c r="J29" s="1202">
        <f t="shared" si="12"/>
        <v>0.62863242527686869</v>
      </c>
      <c r="K29" s="1202">
        <f t="shared" si="13"/>
        <v>0</v>
      </c>
      <c r="L29" s="1202">
        <f t="shared" si="14"/>
        <v>0</v>
      </c>
      <c r="M29" s="1203">
        <f t="shared" si="15"/>
        <v>0</v>
      </c>
      <c r="N29" s="1201">
        <f>IF('Mkt Pen Veh-Mi'!N28=0,$N$5,($N$5-SUMPRODUCT(O29:S29,'Mkt Pen Veh-Mi'!O28:S28))/'Mkt Pen Veh-Mi'!N28)</f>
        <v>0.3993192679352805</v>
      </c>
      <c r="O29" s="1202">
        <f t="shared" si="16"/>
        <v>0.39811563537410172</v>
      </c>
      <c r="P29" s="1202">
        <f t="shared" si="17"/>
        <v>0.40161167498399325</v>
      </c>
      <c r="Q29" s="1202">
        <f t="shared" si="18"/>
        <v>0</v>
      </c>
      <c r="R29" s="1202">
        <f t="shared" si="19"/>
        <v>0</v>
      </c>
      <c r="S29" s="1203">
        <f t="shared" si="20"/>
        <v>0</v>
      </c>
    </row>
    <row r="30" spans="1:19" x14ac:dyDescent="0.25">
      <c r="A30" s="1191">
        <v>2027</v>
      </c>
      <c r="B30" s="1194">
        <f>IF('Mkt Pen Veh-Mi'!B29=0,$B$5,($B$5-SUMPRODUCT(C30:G30,'Mkt Pen Veh-Mi'!C29:G29))/'Mkt Pen Veh-Mi'!B29)</f>
        <v>0.23142692517956681</v>
      </c>
      <c r="C30" s="1195">
        <f t="shared" si="6"/>
        <v>0.20854128693766771</v>
      </c>
      <c r="D30" s="1195">
        <f t="shared" si="7"/>
        <v>0.21330072299443584</v>
      </c>
      <c r="E30" s="1195">
        <f t="shared" si="8"/>
        <v>0</v>
      </c>
      <c r="F30" s="1195">
        <f t="shared" si="9"/>
        <v>0</v>
      </c>
      <c r="G30" s="1196">
        <f t="shared" si="10"/>
        <v>0</v>
      </c>
      <c r="H30" s="1194">
        <f>IF('Mkt Pen Veh-Mi'!H29=0,$H$5,($H$5-SUMPRODUCT(I30:M30,'Mkt Pen Veh-Mi'!I29:M29))/'Mkt Pen Veh-Mi'!H29)</f>
        <v>0.61361224749541354</v>
      </c>
      <c r="I30" s="1195">
        <f t="shared" si="11"/>
        <v>0.62976460344449925</v>
      </c>
      <c r="J30" s="1195">
        <f t="shared" si="12"/>
        <v>0.63472569398842205</v>
      </c>
      <c r="K30" s="1195">
        <f t="shared" si="13"/>
        <v>0</v>
      </c>
      <c r="L30" s="1195">
        <f t="shared" si="14"/>
        <v>0</v>
      </c>
      <c r="M30" s="1196">
        <f t="shared" si="15"/>
        <v>0</v>
      </c>
      <c r="N30" s="1194">
        <f>IF('Mkt Pen Veh-Mi'!N29=0,$N$5,($N$5-SUMPRODUCT(O30:S30,'Mkt Pen Veh-Mi'!O29:S29))/'Mkt Pen Veh-Mi'!N29)</f>
        <v>0.39928682386489672</v>
      </c>
      <c r="O30" s="1195">
        <f t="shared" si="16"/>
        <v>0.39861623484046654</v>
      </c>
      <c r="P30" s="1195">
        <f t="shared" si="17"/>
        <v>0.40111967810547644</v>
      </c>
      <c r="Q30" s="1195">
        <f t="shared" si="18"/>
        <v>0</v>
      </c>
      <c r="R30" s="1195">
        <f t="shared" si="19"/>
        <v>0</v>
      </c>
      <c r="S30" s="1196">
        <f t="shared" si="20"/>
        <v>0</v>
      </c>
    </row>
    <row r="31" spans="1:19" x14ac:dyDescent="0.25">
      <c r="A31" s="1191">
        <v>2028</v>
      </c>
      <c r="B31" s="1194">
        <f>IF('Mkt Pen Veh-Mi'!B30=0,$B$5,($B$5-SUMPRODUCT(C31:G31,'Mkt Pen Veh-Mi'!C30:G30))/'Mkt Pen Veh-Mi'!B30)</f>
        <v>0.2328306384542809</v>
      </c>
      <c r="C31" s="1195">
        <f t="shared" si="6"/>
        <v>0.22575357908143515</v>
      </c>
      <c r="D31" s="1195">
        <f t="shared" si="7"/>
        <v>0.2164599114195922</v>
      </c>
      <c r="E31" s="1195">
        <f t="shared" si="8"/>
        <v>0</v>
      </c>
      <c r="F31" s="1195">
        <f t="shared" si="9"/>
        <v>0</v>
      </c>
      <c r="G31" s="1196">
        <f t="shared" si="10"/>
        <v>0</v>
      </c>
      <c r="H31" s="1194">
        <f>IF('Mkt Pen Veh-Mi'!H30=0,$H$5,($H$5-SUMPRODUCT(I31:M31,'Mkt Pen Veh-Mi'!I30:M30))/'Mkt Pen Veh-Mi'!H30)</f>
        <v>0.61260163452859384</v>
      </c>
      <c r="I31" s="1195">
        <f t="shared" si="11"/>
        <v>0.62250527989491555</v>
      </c>
      <c r="J31" s="1195">
        <f t="shared" si="12"/>
        <v>0.63133921459594688</v>
      </c>
      <c r="K31" s="1195">
        <f t="shared" si="13"/>
        <v>0</v>
      </c>
      <c r="L31" s="1195">
        <f t="shared" si="14"/>
        <v>0</v>
      </c>
      <c r="M31" s="1196">
        <f t="shared" si="15"/>
        <v>0</v>
      </c>
      <c r="N31" s="1194">
        <f>IF('Mkt Pen Veh-Mi'!N30=0,$N$5,($N$5-SUMPRODUCT(O31:S31,'Mkt Pen Veh-Mi'!O30:S30))/'Mkt Pen Veh-Mi'!N30)</f>
        <v>0.39897080445046545</v>
      </c>
      <c r="O31" s="1195">
        <f t="shared" si="16"/>
        <v>0.40123954152349783</v>
      </c>
      <c r="P31" s="1195">
        <f t="shared" si="17"/>
        <v>0.40043208848204048</v>
      </c>
      <c r="Q31" s="1195">
        <f t="shared" si="18"/>
        <v>0</v>
      </c>
      <c r="R31" s="1195">
        <f t="shared" si="19"/>
        <v>0</v>
      </c>
      <c r="S31" s="1196">
        <f t="shared" si="20"/>
        <v>0</v>
      </c>
    </row>
    <row r="32" spans="1:19" x14ac:dyDescent="0.25">
      <c r="A32" s="1191">
        <v>2029</v>
      </c>
      <c r="B32" s="1194">
        <f>IF('Mkt Pen Veh-Mi'!B31=0,$B$5,($B$5-SUMPRODUCT(C32:G32,'Mkt Pen Veh-Mi'!C31:G31))/'Mkt Pen Veh-Mi'!B31)</f>
        <v>0.2346893981911341</v>
      </c>
      <c r="C32" s="1195">
        <f t="shared" si="6"/>
        <v>0.23028521999431273</v>
      </c>
      <c r="D32" s="1195">
        <f t="shared" si="7"/>
        <v>0.21740977699686181</v>
      </c>
      <c r="E32" s="1195">
        <f t="shared" si="8"/>
        <v>0</v>
      </c>
      <c r="F32" s="1195">
        <f t="shared" si="9"/>
        <v>0</v>
      </c>
      <c r="G32" s="1196">
        <f t="shared" si="10"/>
        <v>0</v>
      </c>
      <c r="H32" s="1194">
        <f>IF('Mkt Pen Veh-Mi'!H31=0,$H$5,($H$5-SUMPRODUCT(I32:M32,'Mkt Pen Veh-Mi'!I31:M31))/'Mkt Pen Veh-Mi'!H31)</f>
        <v>0.61101156486564612</v>
      </c>
      <c r="I32" s="1195">
        <f t="shared" si="11"/>
        <v>0.62002882702143625</v>
      </c>
      <c r="J32" s="1195">
        <f t="shared" si="12"/>
        <v>0.6273333689775793</v>
      </c>
      <c r="K32" s="1195">
        <f t="shared" si="13"/>
        <v>0</v>
      </c>
      <c r="L32" s="1195">
        <f t="shared" si="14"/>
        <v>0</v>
      </c>
      <c r="M32" s="1196">
        <f t="shared" si="15"/>
        <v>0</v>
      </c>
      <c r="N32" s="1194">
        <f>IF('Mkt Pen Veh-Mi'!N31=0,$N$5,($N$5-SUMPRODUCT(O32:S32,'Mkt Pen Veh-Mi'!O31:S31))/'Mkt Pen Veh-Mi'!N31)</f>
        <v>0.39886907083349449</v>
      </c>
      <c r="O32" s="1195">
        <f t="shared" si="16"/>
        <v>0.40589291273136613</v>
      </c>
      <c r="P32" s="1195">
        <f t="shared" si="17"/>
        <v>0.39837698614927258</v>
      </c>
      <c r="Q32" s="1195">
        <f t="shared" si="18"/>
        <v>0</v>
      </c>
      <c r="R32" s="1195">
        <f t="shared" si="19"/>
        <v>0</v>
      </c>
      <c r="S32" s="1196">
        <f t="shared" si="20"/>
        <v>0</v>
      </c>
    </row>
    <row r="33" spans="1:19" x14ac:dyDescent="0.25">
      <c r="A33" s="1197">
        <v>2030</v>
      </c>
      <c r="B33" s="1198">
        <f>IF('Mkt Pen Veh-Mi'!B32=0,$B$5,($B$5-SUMPRODUCT(C33:G33,'Mkt Pen Veh-Mi'!C32:G32))/'Mkt Pen Veh-Mi'!B32)</f>
        <v>0.23756491502281782</v>
      </c>
      <c r="C33" s="1199">
        <f t="shared" si="6"/>
        <v>0.23010036296968717</v>
      </c>
      <c r="D33" s="1199">
        <f t="shared" si="7"/>
        <v>0.22290448715960784</v>
      </c>
      <c r="E33" s="1199">
        <f t="shared" si="8"/>
        <v>0</v>
      </c>
      <c r="F33" s="1199">
        <f t="shared" si="9"/>
        <v>0</v>
      </c>
      <c r="G33" s="1200">
        <f t="shared" si="10"/>
        <v>0</v>
      </c>
      <c r="H33" s="1198">
        <f>IF('Mkt Pen Veh-Mi'!H32=0,$H$5,($H$5-SUMPRODUCT(I33:M33,'Mkt Pen Veh-Mi'!I32:M32))/'Mkt Pen Veh-Mi'!H32)</f>
        <v>0.60605304624447054</v>
      </c>
      <c r="I33" s="1199">
        <f t="shared" si="11"/>
        <v>0.62246818795626613</v>
      </c>
      <c r="J33" s="1199">
        <f t="shared" si="12"/>
        <v>0.62559860382642896</v>
      </c>
      <c r="K33" s="1199">
        <f t="shared" si="13"/>
        <v>0</v>
      </c>
      <c r="L33" s="1199">
        <f t="shared" si="14"/>
        <v>0</v>
      </c>
      <c r="M33" s="1200">
        <f t="shared" si="15"/>
        <v>0</v>
      </c>
      <c r="N33" s="1198">
        <f>IF('Mkt Pen Veh-Mi'!N32=0,$N$5,($N$5-SUMPRODUCT(O33:S33,'Mkt Pen Veh-Mi'!O32:S32))/'Mkt Pen Veh-Mi'!N32)</f>
        <v>0.39319627275821756</v>
      </c>
      <c r="O33" s="1199">
        <f t="shared" si="16"/>
        <v>0.35013903120245005</v>
      </c>
      <c r="P33" s="1199">
        <f t="shared" si="17"/>
        <v>0.41121712769800911</v>
      </c>
      <c r="Q33" s="1199">
        <f t="shared" si="18"/>
        <v>0</v>
      </c>
      <c r="R33" s="1199">
        <f t="shared" si="19"/>
        <v>2.7571251072035525E-2</v>
      </c>
      <c r="S33" s="1200">
        <f t="shared" si="20"/>
        <v>0</v>
      </c>
    </row>
    <row r="34" spans="1:19" x14ac:dyDescent="0.25">
      <c r="A34" s="1191">
        <v>2031</v>
      </c>
      <c r="B34" s="1201">
        <f>IF('Mkt Pen Veh-Mi'!B33=0,$B$5,($B$5-SUMPRODUCT(C34:G34,'Mkt Pen Veh-Mi'!C33:G33))/'Mkt Pen Veh-Mi'!B33)</f>
        <v>0.2415830294334835</v>
      </c>
      <c r="C34" s="1202">
        <f t="shared" si="6"/>
        <v>0.23234942062677671</v>
      </c>
      <c r="D34" s="1202">
        <f t="shared" si="7"/>
        <v>0.22290844051799777</v>
      </c>
      <c r="E34" s="1202">
        <f t="shared" si="8"/>
        <v>0</v>
      </c>
      <c r="F34" s="1202">
        <f t="shared" si="9"/>
        <v>0</v>
      </c>
      <c r="G34" s="1203">
        <f t="shared" si="10"/>
        <v>0</v>
      </c>
      <c r="H34" s="1201">
        <f>IF('Mkt Pen Veh-Mi'!H33=0,$H$5,($H$5-SUMPRODUCT(I34:M34,'Mkt Pen Veh-Mi'!I33:M33))/'Mkt Pen Veh-Mi'!H33)</f>
        <v>0.60292409822671256</v>
      </c>
      <c r="I34" s="1202">
        <f t="shared" si="11"/>
        <v>0.61922366878811741</v>
      </c>
      <c r="J34" s="1202">
        <f t="shared" si="12"/>
        <v>0.62452532597261234</v>
      </c>
      <c r="K34" s="1202">
        <f t="shared" si="13"/>
        <v>0</v>
      </c>
      <c r="L34" s="1202">
        <f t="shared" si="14"/>
        <v>0</v>
      </c>
      <c r="M34" s="1203">
        <f t="shared" si="15"/>
        <v>0</v>
      </c>
      <c r="N34" s="1201">
        <f>IF('Mkt Pen Veh-Mi'!N33=0,$N$5,($N$5-SUMPRODUCT(O34:S34,'Mkt Pen Veh-Mi'!O33:S33))/'Mkt Pen Veh-Mi'!N33)</f>
        <v>0.39810023677291956</v>
      </c>
      <c r="O34" s="1202">
        <f t="shared" si="16"/>
        <v>0.25980051695721834</v>
      </c>
      <c r="P34" s="1202">
        <f t="shared" si="17"/>
        <v>0.40185290698360954</v>
      </c>
      <c r="Q34" s="1202">
        <f t="shared" si="18"/>
        <v>0</v>
      </c>
      <c r="R34" s="1202">
        <f t="shared" si="19"/>
        <v>7.2379064400750412E-2</v>
      </c>
      <c r="S34" s="1203">
        <f t="shared" si="20"/>
        <v>0</v>
      </c>
    </row>
    <row r="35" spans="1:19" x14ac:dyDescent="0.25">
      <c r="A35" s="1191">
        <v>2032</v>
      </c>
      <c r="B35" s="1194">
        <f>IF('Mkt Pen Veh-Mi'!B34=0,$B$5,($B$5-SUMPRODUCT(C35:G35,'Mkt Pen Veh-Mi'!C34:G34))/'Mkt Pen Veh-Mi'!B34)</f>
        <v>0.26697764949056385</v>
      </c>
      <c r="C35" s="1195">
        <f t="shared" si="6"/>
        <v>0.22987437157160306</v>
      </c>
      <c r="D35" s="1195">
        <f t="shared" si="7"/>
        <v>0.22338503065154133</v>
      </c>
      <c r="E35" s="1195">
        <f t="shared" si="8"/>
        <v>0</v>
      </c>
      <c r="F35" s="1195">
        <f t="shared" si="9"/>
        <v>0</v>
      </c>
      <c r="G35" s="1196">
        <f t="shared" si="10"/>
        <v>0</v>
      </c>
      <c r="H35" s="1194">
        <f>IF('Mkt Pen Veh-Mi'!H34=0,$H$5,($H$5-SUMPRODUCT(I35:M35,'Mkt Pen Veh-Mi'!I34:M34))/'Mkt Pen Veh-Mi'!H34)</f>
        <v>0.59384218638266939</v>
      </c>
      <c r="I35" s="1195">
        <f t="shared" si="11"/>
        <v>0.62271461450207011</v>
      </c>
      <c r="J35" s="1195">
        <f t="shared" si="12"/>
        <v>0.62408929333025964</v>
      </c>
      <c r="K35" s="1195">
        <f t="shared" si="13"/>
        <v>0</v>
      </c>
      <c r="L35" s="1195">
        <f t="shared" si="14"/>
        <v>0</v>
      </c>
      <c r="M35" s="1196">
        <f t="shared" si="15"/>
        <v>0</v>
      </c>
      <c r="N35" s="1194">
        <f>IF('Mkt Pen Veh-Mi'!N34=0,$N$5,($N$5-SUMPRODUCT(O35:S35,'Mkt Pen Veh-Mi'!O34:S34))/'Mkt Pen Veh-Mi'!N34)</f>
        <v>0.39464593797588321</v>
      </c>
      <c r="O35" s="1195">
        <f t="shared" si="16"/>
        <v>0.26730271299381642</v>
      </c>
      <c r="P35" s="1195">
        <f t="shared" si="17"/>
        <v>0.40432930526436611</v>
      </c>
      <c r="Q35" s="1195">
        <f t="shared" si="18"/>
        <v>0</v>
      </c>
      <c r="R35" s="1195">
        <f t="shared" si="19"/>
        <v>9.9391742627835136E-2</v>
      </c>
      <c r="S35" s="1196">
        <f t="shared" si="20"/>
        <v>0</v>
      </c>
    </row>
    <row r="36" spans="1:19" x14ac:dyDescent="0.25">
      <c r="A36" s="1191">
        <v>2033</v>
      </c>
      <c r="B36" s="1194">
        <f>IF('Mkt Pen Veh-Mi'!B35=0,$B$5,($B$5-SUMPRODUCT(C36:G36,'Mkt Pen Veh-Mi'!C35:G35))/'Mkt Pen Veh-Mi'!B35)</f>
        <v>0.25371405474820741</v>
      </c>
      <c r="C36" s="1195">
        <f t="shared" si="6"/>
        <v>0.23299679796403308</v>
      </c>
      <c r="D36" s="1195">
        <f t="shared" si="7"/>
        <v>0.22431081816730603</v>
      </c>
      <c r="E36" s="1195">
        <f t="shared" si="8"/>
        <v>0</v>
      </c>
      <c r="F36" s="1195">
        <f t="shared" si="9"/>
        <v>0</v>
      </c>
      <c r="G36" s="1196">
        <f t="shared" si="10"/>
        <v>0</v>
      </c>
      <c r="H36" s="1194">
        <f>IF('Mkt Pen Veh-Mi'!H35=0,$H$5,($H$5-SUMPRODUCT(I36:M36,'Mkt Pen Veh-Mi'!I35:M35))/'Mkt Pen Veh-Mi'!H35)</f>
        <v>0.59885100551080028</v>
      </c>
      <c r="I36" s="1195">
        <f t="shared" si="11"/>
        <v>0.61925847523212219</v>
      </c>
      <c r="J36" s="1195">
        <f t="shared" si="12"/>
        <v>0.62099086567357609</v>
      </c>
      <c r="K36" s="1195">
        <f t="shared" si="13"/>
        <v>0</v>
      </c>
      <c r="L36" s="1195">
        <f t="shared" si="14"/>
        <v>0</v>
      </c>
      <c r="M36" s="1196">
        <f t="shared" si="15"/>
        <v>0</v>
      </c>
      <c r="N36" s="1194">
        <f>IF('Mkt Pen Veh-Mi'!N35=0,$N$5,($N$5-SUMPRODUCT(O36:S36,'Mkt Pen Veh-Mi'!O35:S35))/'Mkt Pen Veh-Mi'!N35)</f>
        <v>0.39400518227565867</v>
      </c>
      <c r="O36" s="1195">
        <f t="shared" si="16"/>
        <v>0.25976058513039674</v>
      </c>
      <c r="P36" s="1195">
        <f t="shared" si="17"/>
        <v>0.40459837415092198</v>
      </c>
      <c r="Q36" s="1195">
        <f t="shared" si="18"/>
        <v>0</v>
      </c>
      <c r="R36" s="1195">
        <f t="shared" si="19"/>
        <v>0.12477789703174307</v>
      </c>
      <c r="S36" s="1196">
        <f t="shared" si="20"/>
        <v>0</v>
      </c>
    </row>
    <row r="37" spans="1:19" x14ac:dyDescent="0.25">
      <c r="A37" s="1191">
        <v>2034</v>
      </c>
      <c r="B37" s="1194">
        <f>IF('Mkt Pen Veh-Mi'!B36=0,$B$5,($B$5-SUMPRODUCT(C37:G37,'Mkt Pen Veh-Mi'!C36:G36))/'Mkt Pen Veh-Mi'!B36)</f>
        <v>0.27595336977440976</v>
      </c>
      <c r="C37" s="1195">
        <f t="shared" si="6"/>
        <v>0.23230668602401403</v>
      </c>
      <c r="D37" s="1195">
        <f t="shared" si="7"/>
        <v>0.22386718237843448</v>
      </c>
      <c r="E37" s="1195">
        <f t="shared" si="8"/>
        <v>0</v>
      </c>
      <c r="F37" s="1195">
        <f t="shared" si="9"/>
        <v>0</v>
      </c>
      <c r="G37" s="1196">
        <f t="shared" si="10"/>
        <v>0</v>
      </c>
      <c r="H37" s="1194">
        <f>IF('Mkt Pen Veh-Mi'!H36=0,$H$5,($H$5-SUMPRODUCT(I37:M37,'Mkt Pen Veh-Mi'!I36:M36))/'Mkt Pen Veh-Mi'!H36)</f>
        <v>0.6048671706494283</v>
      </c>
      <c r="I37" s="1195">
        <f t="shared" si="11"/>
        <v>0.6142839438809039</v>
      </c>
      <c r="J37" s="1195">
        <f t="shared" si="12"/>
        <v>0.62150246198049131</v>
      </c>
      <c r="K37" s="1195">
        <f t="shared" si="13"/>
        <v>0</v>
      </c>
      <c r="L37" s="1195">
        <f t="shared" si="14"/>
        <v>0</v>
      </c>
      <c r="M37" s="1196">
        <f t="shared" si="15"/>
        <v>0</v>
      </c>
      <c r="N37" s="1194">
        <f>IF('Mkt Pen Veh-Mi'!N36=0,$N$5,($N$5-SUMPRODUCT(O37:S37,'Mkt Pen Veh-Mi'!O36:S36))/'Mkt Pen Veh-Mi'!N36)</f>
        <v>0.3938100667860005</v>
      </c>
      <c r="O37" s="1195">
        <f t="shared" si="16"/>
        <v>0.26059934156187381</v>
      </c>
      <c r="P37" s="1195">
        <f t="shared" si="17"/>
        <v>0.40403972696154955</v>
      </c>
      <c r="Q37" s="1195">
        <f t="shared" si="18"/>
        <v>0</v>
      </c>
      <c r="R37" s="1195">
        <f t="shared" si="19"/>
        <v>0.14419985103722352</v>
      </c>
      <c r="S37" s="1196">
        <f t="shared" si="20"/>
        <v>0</v>
      </c>
    </row>
    <row r="38" spans="1:19" x14ac:dyDescent="0.25">
      <c r="A38" s="1197">
        <v>2035</v>
      </c>
      <c r="B38" s="1198">
        <f>IF('Mkt Pen Veh-Mi'!B37=0,$B$5,($B$5-SUMPRODUCT(C38:G38,'Mkt Pen Veh-Mi'!C37:G37))/'Mkt Pen Veh-Mi'!B37)</f>
        <v>0.28481583443003217</v>
      </c>
      <c r="C38" s="1199">
        <f t="shared" si="6"/>
        <v>0.23193485292142157</v>
      </c>
      <c r="D38" s="1199">
        <f t="shared" si="7"/>
        <v>0.22411977221038096</v>
      </c>
      <c r="E38" s="1199">
        <f t="shared" si="8"/>
        <v>0</v>
      </c>
      <c r="F38" s="1199">
        <f t="shared" si="9"/>
        <v>0</v>
      </c>
      <c r="G38" s="1200">
        <f t="shared" si="10"/>
        <v>0</v>
      </c>
      <c r="H38" s="1198">
        <f>IF('Mkt Pen Veh-Mi'!H37=0,$H$5,($H$5-SUMPRODUCT(I38:M38,'Mkt Pen Veh-Mi'!I37:M37))/'Mkt Pen Veh-Mi'!H37)</f>
        <v>0.59682154422720868</v>
      </c>
      <c r="I38" s="1199">
        <f t="shared" si="11"/>
        <v>0.61868492082738036</v>
      </c>
      <c r="J38" s="1199">
        <f t="shared" si="12"/>
        <v>0.62111525555626479</v>
      </c>
      <c r="K38" s="1199">
        <f t="shared" si="13"/>
        <v>0</v>
      </c>
      <c r="L38" s="1199">
        <f t="shared" si="14"/>
        <v>0</v>
      </c>
      <c r="M38" s="1200">
        <f t="shared" si="15"/>
        <v>0</v>
      </c>
      <c r="N38" s="1198">
        <f>IF('Mkt Pen Veh-Mi'!N37=0,$N$5,($N$5-SUMPRODUCT(O38:S38,'Mkt Pen Veh-Mi'!O37:S37))/'Mkt Pen Veh-Mi'!N37)</f>
        <v>0.39675425147621962</v>
      </c>
      <c r="O38" s="1199">
        <f t="shared" si="16"/>
        <v>0.27176299012105426</v>
      </c>
      <c r="P38" s="1199">
        <f t="shared" si="17"/>
        <v>0.40216801506644639</v>
      </c>
      <c r="Q38" s="1199">
        <f t="shared" si="18"/>
        <v>0</v>
      </c>
      <c r="R38" s="1199">
        <f t="shared" si="19"/>
        <v>0.16002787468096893</v>
      </c>
      <c r="S38" s="1200">
        <f t="shared" si="20"/>
        <v>0</v>
      </c>
    </row>
    <row r="39" spans="1:19" x14ac:dyDescent="0.25">
      <c r="A39" s="1191">
        <v>2036</v>
      </c>
      <c r="B39" s="1201">
        <f>IF('Mkt Pen Veh-Mi'!B38=0,$B$5,($B$5-SUMPRODUCT(C39:G39,'Mkt Pen Veh-Mi'!C38:G38))/'Mkt Pen Veh-Mi'!B38)</f>
        <v>0.31540740427858627</v>
      </c>
      <c r="C39" s="1202">
        <f t="shared" si="6"/>
        <v>0.2306506973434149</v>
      </c>
      <c r="D39" s="1202">
        <f t="shared" si="7"/>
        <v>0.2245998261004393</v>
      </c>
      <c r="E39" s="1202">
        <f t="shared" si="8"/>
        <v>0</v>
      </c>
      <c r="F39" s="1202">
        <f t="shared" si="9"/>
        <v>0</v>
      </c>
      <c r="G39" s="1203">
        <f t="shared" si="10"/>
        <v>0</v>
      </c>
      <c r="H39" s="1201">
        <f>IF('Mkt Pen Veh-Mi'!H38=0,$H$5,($H$5-SUMPRODUCT(I39:M39,'Mkt Pen Veh-Mi'!I38:M38))/'Mkt Pen Veh-Mi'!H38)</f>
        <v>0.5918356045801455</v>
      </c>
      <c r="I39" s="1202">
        <f t="shared" si="11"/>
        <v>0.6203471083787705</v>
      </c>
      <c r="J39" s="1202">
        <f t="shared" si="12"/>
        <v>0.62123764063626419</v>
      </c>
      <c r="K39" s="1202">
        <f t="shared" si="13"/>
        <v>0</v>
      </c>
      <c r="L39" s="1202">
        <f t="shared" si="14"/>
        <v>0</v>
      </c>
      <c r="M39" s="1203">
        <f t="shared" si="15"/>
        <v>0</v>
      </c>
      <c r="N39" s="1201">
        <f>IF('Mkt Pen Veh-Mi'!N38=0,$N$5,($N$5-SUMPRODUCT(O39:S39,'Mkt Pen Veh-Mi'!O38:S38))/'Mkt Pen Veh-Mi'!N38)</f>
        <v>0.39568231624223982</v>
      </c>
      <c r="O39" s="1202">
        <f t="shared" si="16"/>
        <v>0.27931134732944374</v>
      </c>
      <c r="P39" s="1202">
        <f t="shared" si="17"/>
        <v>0.40555466118363626</v>
      </c>
      <c r="Q39" s="1202">
        <f t="shared" si="18"/>
        <v>0</v>
      </c>
      <c r="R39" s="1202">
        <f t="shared" si="19"/>
        <v>0.18368419564572677</v>
      </c>
      <c r="S39" s="1203">
        <f t="shared" si="20"/>
        <v>0</v>
      </c>
    </row>
    <row r="40" spans="1:19" x14ac:dyDescent="0.25">
      <c r="A40" s="1191">
        <v>2037</v>
      </c>
      <c r="B40" s="1194">
        <f>IF('Mkt Pen Veh-Mi'!B39=0,$B$5,($B$5-SUMPRODUCT(C40:G40,'Mkt Pen Veh-Mi'!C39:G39))/'Mkt Pen Veh-Mi'!B39)</f>
        <v>0.31837575354535252</v>
      </c>
      <c r="C40" s="1195">
        <f t="shared" si="6"/>
        <v>0.22967162170319078</v>
      </c>
      <c r="D40" s="1195">
        <f t="shared" si="7"/>
        <v>0.22571282883590932</v>
      </c>
      <c r="E40" s="1195">
        <f t="shared" si="8"/>
        <v>0</v>
      </c>
      <c r="F40" s="1195">
        <f t="shared" si="9"/>
        <v>0</v>
      </c>
      <c r="G40" s="1196">
        <f t="shared" si="10"/>
        <v>0</v>
      </c>
      <c r="H40" s="1194">
        <f>IF('Mkt Pen Veh-Mi'!H39=0,$H$5,($H$5-SUMPRODUCT(I40:M40,'Mkt Pen Veh-Mi'!I39:M39))/'Mkt Pen Veh-Mi'!H39)</f>
        <v>0.60037299280971235</v>
      </c>
      <c r="I40" s="1195">
        <f t="shared" si="11"/>
        <v>0.61783751208007964</v>
      </c>
      <c r="J40" s="1195">
        <f t="shared" si="12"/>
        <v>0.61866450116151983</v>
      </c>
      <c r="K40" s="1195">
        <f t="shared" si="13"/>
        <v>0</v>
      </c>
      <c r="L40" s="1195">
        <f t="shared" si="14"/>
        <v>0</v>
      </c>
      <c r="M40" s="1196">
        <f t="shared" si="15"/>
        <v>0</v>
      </c>
      <c r="N40" s="1194">
        <f>IF('Mkt Pen Veh-Mi'!N39=0,$N$5,($N$5-SUMPRODUCT(O40:S40,'Mkt Pen Veh-Mi'!O39:S39))/'Mkt Pen Veh-Mi'!N39)</f>
        <v>0.39489334926274039</v>
      </c>
      <c r="O40" s="1195">
        <f t="shared" si="16"/>
        <v>0.30268210955347596</v>
      </c>
      <c r="P40" s="1195">
        <f t="shared" si="17"/>
        <v>0.40697508521435133</v>
      </c>
      <c r="Q40" s="1195">
        <f t="shared" si="18"/>
        <v>0</v>
      </c>
      <c r="R40" s="1195">
        <f t="shared" si="19"/>
        <v>0.20569108214430371</v>
      </c>
      <c r="S40" s="1196">
        <f t="shared" si="20"/>
        <v>0</v>
      </c>
    </row>
    <row r="41" spans="1:19" x14ac:dyDescent="0.25">
      <c r="A41" s="1191">
        <v>2038</v>
      </c>
      <c r="B41" s="1194">
        <f>IF('Mkt Pen Veh-Mi'!B40=0,$B$5,($B$5-SUMPRODUCT(C41:G41,'Mkt Pen Veh-Mi'!C40:G40))/'Mkt Pen Veh-Mi'!B40)</f>
        <v>0.3180945533640831</v>
      </c>
      <c r="C41" s="1195">
        <f t="shared" si="6"/>
        <v>0.2297897209474434</v>
      </c>
      <c r="D41" s="1195">
        <f t="shared" si="7"/>
        <v>0.2256662392256589</v>
      </c>
      <c r="E41" s="1195">
        <f t="shared" si="8"/>
        <v>0</v>
      </c>
      <c r="F41" s="1195">
        <f t="shared" si="9"/>
        <v>0</v>
      </c>
      <c r="G41" s="1196">
        <f t="shared" si="10"/>
        <v>0</v>
      </c>
      <c r="H41" s="1194">
        <f>IF('Mkt Pen Veh-Mi'!H40=0,$H$5,($H$5-SUMPRODUCT(I41:M41,'Mkt Pen Veh-Mi'!I40:M40))/'Mkt Pen Veh-Mi'!H40)</f>
        <v>0.59746487435290085</v>
      </c>
      <c r="I41" s="1195">
        <f t="shared" si="11"/>
        <v>0.6182285042995862</v>
      </c>
      <c r="J41" s="1195">
        <f t="shared" si="12"/>
        <v>0.61927127033405849</v>
      </c>
      <c r="K41" s="1195">
        <f t="shared" si="13"/>
        <v>0</v>
      </c>
      <c r="L41" s="1195">
        <f t="shared" si="14"/>
        <v>0</v>
      </c>
      <c r="M41" s="1196">
        <f t="shared" si="15"/>
        <v>0</v>
      </c>
      <c r="N41" s="1194">
        <f>IF('Mkt Pen Veh-Mi'!N40=0,$N$5,($N$5-SUMPRODUCT(O41:S41,'Mkt Pen Veh-Mi'!O40:S40))/'Mkt Pen Veh-Mi'!N40)</f>
        <v>0.3857905471812681</v>
      </c>
      <c r="O41" s="1195">
        <f t="shared" si="16"/>
        <v>0.34282848626334284</v>
      </c>
      <c r="P41" s="1195">
        <f t="shared" si="17"/>
        <v>0.41074117386065789</v>
      </c>
      <c r="Q41" s="1195">
        <f t="shared" si="18"/>
        <v>0</v>
      </c>
      <c r="R41" s="1195">
        <f t="shared" si="19"/>
        <v>0.22521207225565062</v>
      </c>
      <c r="S41" s="1196">
        <f t="shared" si="20"/>
        <v>0</v>
      </c>
    </row>
    <row r="42" spans="1:19" x14ac:dyDescent="0.25">
      <c r="A42" s="1191">
        <v>2039</v>
      </c>
      <c r="B42" s="1194">
        <f>IF('Mkt Pen Veh-Mi'!B41=0,$B$5,($B$5-SUMPRODUCT(C42:G42,'Mkt Pen Veh-Mi'!C41:G41))/'Mkt Pen Veh-Mi'!B41)</f>
        <v>0.2802829095344006</v>
      </c>
      <c r="C42" s="1195">
        <f t="shared" si="6"/>
        <v>0.23099036968800643</v>
      </c>
      <c r="D42" s="1195">
        <f t="shared" si="7"/>
        <v>0.22699160725592993</v>
      </c>
      <c r="E42" s="1195">
        <f t="shared" si="8"/>
        <v>0</v>
      </c>
      <c r="F42" s="1195">
        <f t="shared" si="9"/>
        <v>0</v>
      </c>
      <c r="G42" s="1196">
        <f t="shared" si="10"/>
        <v>0</v>
      </c>
      <c r="H42" s="1194">
        <f>IF('Mkt Pen Veh-Mi'!H41=0,$H$5,($H$5-SUMPRODUCT(I42:M42,'Mkt Pen Veh-Mi'!I41:M41))/'Mkt Pen Veh-Mi'!H41)</f>
        <v>0.59857872274722745</v>
      </c>
      <c r="I42" s="1195">
        <f t="shared" si="11"/>
        <v>0.61828394726656755</v>
      </c>
      <c r="J42" s="1195">
        <f t="shared" si="12"/>
        <v>0.61825837908543746</v>
      </c>
      <c r="K42" s="1195">
        <f t="shared" si="13"/>
        <v>0</v>
      </c>
      <c r="L42" s="1195">
        <f t="shared" si="14"/>
        <v>0</v>
      </c>
      <c r="M42" s="1196">
        <f t="shared" si="15"/>
        <v>0</v>
      </c>
      <c r="N42" s="1194">
        <f>IF('Mkt Pen Veh-Mi'!N41=0,$N$5,($N$5-SUMPRODUCT(O42:S42,'Mkt Pen Veh-Mi'!O41:S41))/'Mkt Pen Veh-Mi'!N41)</f>
        <v>0.39669657333352754</v>
      </c>
      <c r="O42" s="1195">
        <f t="shared" si="16"/>
        <v>0.39327462790390727</v>
      </c>
      <c r="P42" s="1195">
        <f t="shared" si="17"/>
        <v>0.40286555651902339</v>
      </c>
      <c r="Q42" s="1195">
        <f t="shared" si="18"/>
        <v>0</v>
      </c>
      <c r="R42" s="1195">
        <f t="shared" si="19"/>
        <v>0.23936681140296306</v>
      </c>
      <c r="S42" s="1196">
        <f t="shared" si="20"/>
        <v>0</v>
      </c>
    </row>
    <row r="43" spans="1:19" x14ac:dyDescent="0.25">
      <c r="A43" s="1197">
        <v>2040</v>
      </c>
      <c r="B43" s="1198">
        <f>IF('Mkt Pen Veh-Mi'!B42=0,$B$5,($B$5-SUMPRODUCT(C43:G43,'Mkt Pen Veh-Mi'!C42:G42))/'Mkt Pen Veh-Mi'!B42)</f>
        <v>0.28478323958543633</v>
      </c>
      <c r="C43" s="1199">
        <f t="shared" si="6"/>
        <v>0.23049396466694913</v>
      </c>
      <c r="D43" s="1199">
        <f t="shared" si="7"/>
        <v>0.22736920631253946</v>
      </c>
      <c r="E43" s="1199">
        <f t="shared" si="8"/>
        <v>0</v>
      </c>
      <c r="F43" s="1199">
        <f t="shared" si="9"/>
        <v>0</v>
      </c>
      <c r="G43" s="1200">
        <f t="shared" si="10"/>
        <v>0</v>
      </c>
      <c r="H43" s="1220">
        <f>IF('Mkt Pen Veh-Mi'!H42=0,$H$5,($H$5-SUMPRODUCT(I43:M43,'Mkt Pen Veh-Mi'!I42:M42))/'Mkt Pen Veh-Mi'!H42)</f>
        <v>0.60126636575343662</v>
      </c>
      <c r="I43" s="1221">
        <f t="shared" si="11"/>
        <v>0.61654473758965822</v>
      </c>
      <c r="J43" s="1221">
        <f t="shared" si="12"/>
        <v>0.61965527957286592</v>
      </c>
      <c r="K43" s="1221">
        <f t="shared" si="13"/>
        <v>0</v>
      </c>
      <c r="L43" s="1221">
        <f t="shared" si="14"/>
        <v>0.27909420121489714</v>
      </c>
      <c r="M43" s="1222">
        <f t="shared" si="15"/>
        <v>0</v>
      </c>
      <c r="N43" s="1194">
        <f>IF('Mkt Pen Veh-Mi'!N42=0,$N$5,($N$5-SUMPRODUCT(O43:S43,'Mkt Pen Veh-Mi'!O42:S42))/'Mkt Pen Veh-Mi'!N42)</f>
        <v>0.38136884030789375</v>
      </c>
      <c r="O43" s="1195">
        <f t="shared" si="16"/>
        <v>0.40672681444344122</v>
      </c>
      <c r="P43" s="1195">
        <f t="shared" si="17"/>
        <v>0.40499953370249991</v>
      </c>
      <c r="Q43" s="1195">
        <f t="shared" si="18"/>
        <v>0</v>
      </c>
      <c r="R43" s="1195">
        <f t="shared" si="19"/>
        <v>0.25657998462242571</v>
      </c>
      <c r="S43" s="1196">
        <f t="shared" si="20"/>
        <v>0</v>
      </c>
    </row>
    <row r="44" spans="1:19" x14ac:dyDescent="0.25">
      <c r="A44" s="1191">
        <v>2041</v>
      </c>
      <c r="B44" s="1201">
        <f>IF('Mkt Pen Veh-Mi'!B43=0,$B$5,($B$5-SUMPRODUCT(C44:G44,'Mkt Pen Veh-Mi'!C43:G43))/'Mkt Pen Veh-Mi'!B43)</f>
        <v>0.28618246689669008</v>
      </c>
      <c r="C44" s="1202">
        <f t="shared" si="6"/>
        <v>0.23019044075675232</v>
      </c>
      <c r="D44" s="1202">
        <f t="shared" si="7"/>
        <v>0.22782978642894036</v>
      </c>
      <c r="E44" s="1202">
        <f t="shared" si="8"/>
        <v>0</v>
      </c>
      <c r="F44" s="1202">
        <f t="shared" si="9"/>
        <v>0</v>
      </c>
      <c r="G44" s="1203">
        <f t="shared" si="10"/>
        <v>0</v>
      </c>
      <c r="H44" s="1201">
        <f>IF('Mkt Pen Veh-Mi'!H43=0,$H$5,($H$5-SUMPRODUCT(I44:M44,'Mkt Pen Veh-Mi'!I43:M43))/'Mkt Pen Veh-Mi'!H43)</f>
        <v>0.59634950906549666</v>
      </c>
      <c r="I44" s="1202">
        <f t="shared" si="11"/>
        <v>0.61784982733006022</v>
      </c>
      <c r="J44" s="1202">
        <f t="shared" si="12"/>
        <v>0.62096772536421752</v>
      </c>
      <c r="K44" s="1202">
        <f t="shared" si="13"/>
        <v>0</v>
      </c>
      <c r="L44" s="1202">
        <f t="shared" si="14"/>
        <v>0.50691891517311727</v>
      </c>
      <c r="M44" s="1203">
        <f t="shared" si="15"/>
        <v>0</v>
      </c>
      <c r="N44" s="1201">
        <f>IF('Mkt Pen Veh-Mi'!N43=0,$N$5,($N$5-SUMPRODUCT(O44:S44,'Mkt Pen Veh-Mi'!O43:S43))/'Mkt Pen Veh-Mi'!N43)</f>
        <v>0.38836942269995833</v>
      </c>
      <c r="O44" s="1202">
        <f t="shared" si="16"/>
        <v>0.4026040559007189</v>
      </c>
      <c r="P44" s="1202">
        <f t="shared" si="17"/>
        <v>0.40353324887879444</v>
      </c>
      <c r="Q44" s="1202">
        <f t="shared" si="18"/>
        <v>0</v>
      </c>
      <c r="R44" s="1202">
        <f t="shared" si="19"/>
        <v>0.2849395072727911</v>
      </c>
      <c r="S44" s="1203">
        <f t="shared" si="20"/>
        <v>0</v>
      </c>
    </row>
    <row r="45" spans="1:19" x14ac:dyDescent="0.25">
      <c r="A45" s="1191">
        <v>2042</v>
      </c>
      <c r="B45" s="1194">
        <f>IF('Mkt Pen Veh-Mi'!B44=0,$B$5,($B$5-SUMPRODUCT(C45:G45,'Mkt Pen Veh-Mi'!C44:G44))/'Mkt Pen Veh-Mi'!B44)</f>
        <v>0.28086842040238763</v>
      </c>
      <c r="C45" s="1195">
        <f t="shared" si="6"/>
        <v>0.22994348090014763</v>
      </c>
      <c r="D45" s="1195">
        <f t="shared" si="7"/>
        <v>0.22835829811789071</v>
      </c>
      <c r="E45" s="1195">
        <f t="shared" si="8"/>
        <v>0</v>
      </c>
      <c r="F45" s="1195">
        <f t="shared" si="9"/>
        <v>0</v>
      </c>
      <c r="G45" s="1196">
        <f t="shared" si="10"/>
        <v>0</v>
      </c>
      <c r="H45" s="1194">
        <f>IF('Mkt Pen Veh-Mi'!H44=0,$H$5,($H$5-SUMPRODUCT(I45:M45,'Mkt Pen Veh-Mi'!I44:M44))/'Mkt Pen Veh-Mi'!H44)</f>
        <v>0.58812271203162536</v>
      </c>
      <c r="I45" s="1195">
        <f t="shared" si="11"/>
        <v>0.62090528822725544</v>
      </c>
      <c r="J45" s="1195">
        <f t="shared" si="12"/>
        <v>0.62026504839042962</v>
      </c>
      <c r="K45" s="1195">
        <f t="shared" si="13"/>
        <v>0</v>
      </c>
      <c r="L45" s="1195">
        <f t="shared" si="14"/>
        <v>0.58546844574307666</v>
      </c>
      <c r="M45" s="1196">
        <f t="shared" si="15"/>
        <v>0</v>
      </c>
      <c r="N45" s="1194">
        <f>IF('Mkt Pen Veh-Mi'!N44=0,$N$5,($N$5-SUMPRODUCT(O45:S45,'Mkt Pen Veh-Mi'!O44:S44))/'Mkt Pen Veh-Mi'!N44)</f>
        <v>0.39014472360891073</v>
      </c>
      <c r="O45" s="1195">
        <f t="shared" si="16"/>
        <v>0.40443277730983745</v>
      </c>
      <c r="P45" s="1195">
        <f t="shared" si="17"/>
        <v>0.40136991229480906</v>
      </c>
      <c r="Q45" s="1195">
        <f t="shared" si="18"/>
        <v>0.10835943529230455</v>
      </c>
      <c r="R45" s="1195">
        <f t="shared" si="19"/>
        <v>0.3186087501287202</v>
      </c>
      <c r="S45" s="1196">
        <f t="shared" si="20"/>
        <v>0</v>
      </c>
    </row>
    <row r="46" spans="1:19" x14ac:dyDescent="0.25">
      <c r="A46" s="1191">
        <v>2043</v>
      </c>
      <c r="B46" s="1194">
        <f>IF('Mkt Pen Veh-Mi'!B45=0,$B$5,($B$5-SUMPRODUCT(C46:G46,'Mkt Pen Veh-Mi'!C45:G45))/'Mkt Pen Veh-Mi'!B45)</f>
        <v>0.31386121143768825</v>
      </c>
      <c r="C46" s="1195">
        <f t="shared" si="6"/>
        <v>0.22998704550589361</v>
      </c>
      <c r="D46" s="1195">
        <f t="shared" si="7"/>
        <v>0.22916112107692546</v>
      </c>
      <c r="E46" s="1195">
        <f t="shared" si="8"/>
        <v>0</v>
      </c>
      <c r="F46" s="1195">
        <f t="shared" si="9"/>
        <v>8.8103884135645169E-2</v>
      </c>
      <c r="G46" s="1196">
        <f t="shared" si="10"/>
        <v>0</v>
      </c>
      <c r="H46" s="1194">
        <f>IF('Mkt Pen Veh-Mi'!H45=0,$H$5,($H$5-SUMPRODUCT(I46:M46,'Mkt Pen Veh-Mi'!I45:M45))/'Mkt Pen Veh-Mi'!H45)</f>
        <v>0.59250389107548573</v>
      </c>
      <c r="I46" s="1195">
        <f t="shared" si="11"/>
        <v>0.6200530288221987</v>
      </c>
      <c r="J46" s="1195">
        <f t="shared" si="12"/>
        <v>0.62074436213584883</v>
      </c>
      <c r="K46" s="1195">
        <f t="shared" si="13"/>
        <v>0</v>
      </c>
      <c r="L46" s="1195">
        <f t="shared" si="14"/>
        <v>0.59448410840932686</v>
      </c>
      <c r="M46" s="1196">
        <f t="shared" si="15"/>
        <v>0</v>
      </c>
      <c r="N46" s="1194">
        <f>IF('Mkt Pen Veh-Mi'!N45=0,$N$5,($N$5-SUMPRODUCT(O46:S46,'Mkt Pen Veh-Mi'!O45:S45))/'Mkt Pen Veh-Mi'!N45)</f>
        <v>0.36049116226846756</v>
      </c>
      <c r="O46" s="1195">
        <f t="shared" si="16"/>
        <v>0.40346731789452045</v>
      </c>
      <c r="P46" s="1195">
        <f t="shared" si="17"/>
        <v>0.40325318837828383</v>
      </c>
      <c r="Q46" s="1195">
        <f t="shared" si="18"/>
        <v>0.27061368373773526</v>
      </c>
      <c r="R46" s="1195">
        <f t="shared" si="19"/>
        <v>0.35296710294214928</v>
      </c>
      <c r="S46" s="1196">
        <f t="shared" si="20"/>
        <v>0</v>
      </c>
    </row>
    <row r="47" spans="1:19" x14ac:dyDescent="0.25">
      <c r="A47" s="1191">
        <v>2044</v>
      </c>
      <c r="B47" s="1194">
        <f>IF('Mkt Pen Veh-Mi'!B46=0,$B$5,($B$5-SUMPRODUCT(C47:G47,'Mkt Pen Veh-Mi'!C46:G46))/'Mkt Pen Veh-Mi'!B46)</f>
        <v>0.31112222038239407</v>
      </c>
      <c r="C47" s="1195">
        <f t="shared" si="6"/>
        <v>0.23335595687616478</v>
      </c>
      <c r="D47" s="1195">
        <f t="shared" si="7"/>
        <v>0.23336400064096904</v>
      </c>
      <c r="E47" s="1195">
        <f t="shared" si="8"/>
        <v>0</v>
      </c>
      <c r="F47" s="1195">
        <f t="shared" si="9"/>
        <v>0.13168543642132324</v>
      </c>
      <c r="G47" s="1196">
        <f t="shared" si="10"/>
        <v>0</v>
      </c>
      <c r="H47" s="1194">
        <f>IF('Mkt Pen Veh-Mi'!H46=0,$H$5,($H$5-SUMPRODUCT(I47:M47,'Mkt Pen Veh-Mi'!I46:M46))/'Mkt Pen Veh-Mi'!H46)</f>
        <v>0.58743768825670428</v>
      </c>
      <c r="I47" s="1195">
        <f t="shared" si="11"/>
        <v>0.62010418796651834</v>
      </c>
      <c r="J47" s="1195">
        <f t="shared" si="12"/>
        <v>0.62275610236605439</v>
      </c>
      <c r="K47" s="1195">
        <f t="shared" si="13"/>
        <v>0.3510822326984564</v>
      </c>
      <c r="L47" s="1195">
        <f t="shared" si="14"/>
        <v>0.60397391522443966</v>
      </c>
      <c r="M47" s="1196">
        <f t="shared" si="15"/>
        <v>0</v>
      </c>
      <c r="N47" s="1194">
        <f>IF('Mkt Pen Veh-Mi'!N46=0,$N$5,($N$5-SUMPRODUCT(O47:S47,'Mkt Pen Veh-Mi'!O46:S46))/'Mkt Pen Veh-Mi'!N46)</f>
        <v>0.33236730573987228</v>
      </c>
      <c r="O47" s="1195">
        <f t="shared" si="16"/>
        <v>0.40073579010337201</v>
      </c>
      <c r="P47" s="1195">
        <f t="shared" si="17"/>
        <v>0.40265572915910997</v>
      </c>
      <c r="Q47" s="1195">
        <f t="shared" si="18"/>
        <v>0.36974416484168232</v>
      </c>
      <c r="R47" s="1195">
        <f t="shared" si="19"/>
        <v>0.3823875080649119</v>
      </c>
      <c r="S47" s="1196">
        <f t="shared" si="20"/>
        <v>0</v>
      </c>
    </row>
    <row r="48" spans="1:19" x14ac:dyDescent="0.25">
      <c r="A48" s="1197">
        <v>2045</v>
      </c>
      <c r="B48" s="1198">
        <f>IF('Mkt Pen Veh-Mi'!B47=0,$B$5,($B$5-SUMPRODUCT(C48:G48,'Mkt Pen Veh-Mi'!C47:G47))/'Mkt Pen Veh-Mi'!B47)</f>
        <v>0.29241734697075061</v>
      </c>
      <c r="C48" s="1199">
        <f t="shared" si="6"/>
        <v>0.23843822974250151</v>
      </c>
      <c r="D48" s="1199">
        <f t="shared" si="7"/>
        <v>0.23732192635622079</v>
      </c>
      <c r="E48" s="1199">
        <f t="shared" si="8"/>
        <v>0.10548802780689685</v>
      </c>
      <c r="F48" s="1199">
        <f t="shared" si="9"/>
        <v>0.17063046187767375</v>
      </c>
      <c r="G48" s="1200">
        <f t="shared" si="10"/>
        <v>0</v>
      </c>
      <c r="H48" s="1198">
        <f>IF('Mkt Pen Veh-Mi'!H47=0,$H$5,($H$5-SUMPRODUCT(I48:M48,'Mkt Pen Veh-Mi'!I47:M47))/'Mkt Pen Veh-Mi'!H47)</f>
        <v>0.59754979208554926</v>
      </c>
      <c r="I48" s="1199">
        <f t="shared" si="11"/>
        <v>0.62071416513581612</v>
      </c>
      <c r="J48" s="1199">
        <f t="shared" si="12"/>
        <v>0.62115611225915457</v>
      </c>
      <c r="K48" s="1199">
        <f t="shared" si="13"/>
        <v>0.48764938592955176</v>
      </c>
      <c r="L48" s="1199">
        <f t="shared" si="14"/>
        <v>0.60961037706849552</v>
      </c>
      <c r="M48" s="1200">
        <f t="shared" si="15"/>
        <v>0</v>
      </c>
      <c r="N48" s="1198">
        <f>IF('Mkt Pen Veh-Mi'!N47=0,$N$5,($N$5-SUMPRODUCT(O48:S48,'Mkt Pen Veh-Mi'!O47:S47))/'Mkt Pen Veh-Mi'!N47)</f>
        <v>0.23285841898213533</v>
      </c>
      <c r="O48" s="1199">
        <f t="shared" si="16"/>
        <v>0.40013320493129823</v>
      </c>
      <c r="P48" s="1199">
        <f t="shared" si="17"/>
        <v>0.39999680599891646</v>
      </c>
      <c r="Q48" s="1199">
        <f t="shared" si="18"/>
        <v>0.41543428323045706</v>
      </c>
      <c r="R48" s="1199">
        <f t="shared" si="19"/>
        <v>0.39256161544529933</v>
      </c>
      <c r="S48" s="1200">
        <f t="shared" si="20"/>
        <v>0</v>
      </c>
    </row>
    <row r="49" spans="1:19" x14ac:dyDescent="0.25">
      <c r="A49" s="1191">
        <v>2046</v>
      </c>
      <c r="B49" s="1201">
        <f>IF('Mkt Pen Veh-Mi'!B48=0,$B$5,($B$5-SUMPRODUCT(C49:G49,'Mkt Pen Veh-Mi'!C48:G48))/'Mkt Pen Veh-Mi'!B48)</f>
        <v>0.2909468162598553</v>
      </c>
      <c r="C49" s="1202">
        <f t="shared" si="6"/>
        <v>0.2396262487130259</v>
      </c>
      <c r="D49" s="1202">
        <f t="shared" si="7"/>
        <v>0.23888866507544476</v>
      </c>
      <c r="E49" s="1202">
        <f t="shared" si="8"/>
        <v>0.16086158643271761</v>
      </c>
      <c r="F49" s="1202">
        <f t="shared" si="9"/>
        <v>0.19369807194483796</v>
      </c>
      <c r="G49" s="1203">
        <f t="shared" si="10"/>
        <v>0</v>
      </c>
      <c r="H49" s="1201">
        <f>IF('Mkt Pen Veh-Mi'!H48=0,$H$5,($H$5-SUMPRODUCT(I49:M49,'Mkt Pen Veh-Mi'!I48:M48))/'Mkt Pen Veh-Mi'!H48)</f>
        <v>0.59225928320478682</v>
      </c>
      <c r="I49" s="1202">
        <f t="shared" si="11"/>
        <v>0.62092929614540193</v>
      </c>
      <c r="J49" s="1202">
        <f t="shared" si="12"/>
        <v>0.62093782320182322</v>
      </c>
      <c r="K49" s="1202">
        <f t="shared" si="13"/>
        <v>0.53360703227163087</v>
      </c>
      <c r="L49" s="1202">
        <f t="shared" si="14"/>
        <v>0.61710651480325718</v>
      </c>
      <c r="M49" s="1203">
        <f t="shared" si="15"/>
        <v>0</v>
      </c>
      <c r="N49" s="1201">
        <f>IF('Mkt Pen Veh-Mi'!N48=0,$N$5,($N$5-SUMPRODUCT(O49:S49,'Mkt Pen Veh-Mi'!O48:S48))/'Mkt Pen Veh-Mi'!N48)</f>
        <v>0.39932829612749898</v>
      </c>
      <c r="O49" s="1202">
        <f t="shared" si="16"/>
        <v>0.39962773936611029</v>
      </c>
      <c r="P49" s="1202">
        <f t="shared" si="17"/>
        <v>0.39938302703362494</v>
      </c>
      <c r="Q49" s="1202">
        <f t="shared" si="18"/>
        <v>0.41528024398754443</v>
      </c>
      <c r="R49" s="1202">
        <f t="shared" si="19"/>
        <v>0.39157874667366793</v>
      </c>
      <c r="S49" s="1203">
        <f t="shared" si="20"/>
        <v>0</v>
      </c>
    </row>
    <row r="50" spans="1:19" x14ac:dyDescent="0.25">
      <c r="A50" s="1191">
        <v>2047</v>
      </c>
      <c r="B50" s="1194">
        <f>IF('Mkt Pen Veh-Mi'!B49=0,$B$5,($B$5-SUMPRODUCT(C50:G50,'Mkt Pen Veh-Mi'!C49:G49))/'Mkt Pen Veh-Mi'!B49)</f>
        <v>0.28990396146521041</v>
      </c>
      <c r="C50" s="1195">
        <f t="shared" si="6"/>
        <v>0.23820010803538333</v>
      </c>
      <c r="D50" s="1195">
        <f t="shared" si="7"/>
        <v>0.23815805816185195</v>
      </c>
      <c r="E50" s="1195">
        <f t="shared" si="8"/>
        <v>0.18427794186712484</v>
      </c>
      <c r="F50" s="1195">
        <f t="shared" si="9"/>
        <v>0.21009395699676156</v>
      </c>
      <c r="G50" s="1196">
        <f t="shared" si="10"/>
        <v>0</v>
      </c>
      <c r="H50" s="1194">
        <f>IF('Mkt Pen Veh-Mi'!H49=0,$H$5,($H$5-SUMPRODUCT(I50:M50,'Mkt Pen Veh-Mi'!I49:M49))/'Mkt Pen Veh-Mi'!H49)</f>
        <v>0.59314452749792157</v>
      </c>
      <c r="I50" s="1195">
        <f t="shared" si="11"/>
        <v>0.62096382299179953</v>
      </c>
      <c r="J50" s="1195">
        <f t="shared" si="12"/>
        <v>0.62224489538999816</v>
      </c>
      <c r="K50" s="1195">
        <f t="shared" si="13"/>
        <v>0.5469024454746948</v>
      </c>
      <c r="L50" s="1195">
        <f t="shared" si="14"/>
        <v>0.6175114025948869</v>
      </c>
      <c r="M50" s="1196">
        <f t="shared" si="15"/>
        <v>0</v>
      </c>
      <c r="N50" s="1194">
        <f>IF('Mkt Pen Veh-Mi'!N49=0,$N$5,($N$5-SUMPRODUCT(O50:S50,'Mkt Pen Veh-Mi'!O49:S49))/'Mkt Pen Veh-Mi'!N49)</f>
        <v>0.39932829612797377</v>
      </c>
      <c r="O50" s="1195">
        <f t="shared" si="16"/>
        <v>0.40062858993678763</v>
      </c>
      <c r="P50" s="1195">
        <f t="shared" si="17"/>
        <v>0.39892530708113549</v>
      </c>
      <c r="Q50" s="1195">
        <f t="shared" si="18"/>
        <v>0.41497999527726998</v>
      </c>
      <c r="R50" s="1195">
        <f t="shared" si="19"/>
        <v>0.38756380458442002</v>
      </c>
      <c r="S50" s="1196">
        <f t="shared" si="20"/>
        <v>0</v>
      </c>
    </row>
    <row r="51" spans="1:19" x14ac:dyDescent="0.25">
      <c r="A51" s="1191">
        <v>2048</v>
      </c>
      <c r="B51" s="1194">
        <f>IF('Mkt Pen Veh-Mi'!B50=0,$B$5,($B$5-SUMPRODUCT(C51:G51,'Mkt Pen Veh-Mi'!C50:G50))/'Mkt Pen Veh-Mi'!B50)</f>
        <v>0.28920275710698629</v>
      </c>
      <c r="C51" s="1195">
        <f t="shared" si="6"/>
        <v>0.23664996111780867</v>
      </c>
      <c r="D51" s="1195">
        <f t="shared" si="7"/>
        <v>0.23676983904146487</v>
      </c>
      <c r="E51" s="1195">
        <f t="shared" si="8"/>
        <v>0.19727557392041273</v>
      </c>
      <c r="F51" s="1195">
        <f t="shared" si="9"/>
        <v>0.21760887438767967</v>
      </c>
      <c r="G51" s="1196">
        <f t="shared" si="10"/>
        <v>0</v>
      </c>
      <c r="H51" s="1194">
        <f>IF('Mkt Pen Veh-Mi'!H50=0,$H$5,($H$5-SUMPRODUCT(I51:M51,'Mkt Pen Veh-Mi'!I50:M50))/'Mkt Pen Veh-Mi'!H50)</f>
        <v>0.59210926769652428</v>
      </c>
      <c r="I51" s="1195">
        <f t="shared" si="11"/>
        <v>0.62171366673922768</v>
      </c>
      <c r="J51" s="1195">
        <f t="shared" si="12"/>
        <v>0.62080676866488504</v>
      </c>
      <c r="K51" s="1195">
        <f t="shared" si="13"/>
        <v>0.56174726347453641</v>
      </c>
      <c r="L51" s="1195">
        <f t="shared" si="14"/>
        <v>0.61830013590959387</v>
      </c>
      <c r="M51" s="1196">
        <f t="shared" si="15"/>
        <v>0</v>
      </c>
      <c r="N51" s="1194">
        <f>IF('Mkt Pen Veh-Mi'!N50=0,$N$5,($N$5-SUMPRODUCT(O51:S51,'Mkt Pen Veh-Mi'!O50:S50))/'Mkt Pen Veh-Mi'!N50)</f>
        <v>0.39932829613344728</v>
      </c>
      <c r="O51" s="1195">
        <f t="shared" si="16"/>
        <v>0.39818657925187745</v>
      </c>
      <c r="P51" s="1195">
        <f t="shared" si="17"/>
        <v>0.39811031176969397</v>
      </c>
      <c r="Q51" s="1195">
        <f t="shared" si="18"/>
        <v>0.40561083870062808</v>
      </c>
      <c r="R51" s="1195">
        <f t="shared" si="19"/>
        <v>0.40005964945234757</v>
      </c>
      <c r="S51" s="1196">
        <f t="shared" si="20"/>
        <v>0</v>
      </c>
    </row>
    <row r="52" spans="1:19" x14ac:dyDescent="0.25">
      <c r="A52" s="1191">
        <v>2049</v>
      </c>
      <c r="B52" s="1194">
        <f>IF('Mkt Pen Veh-Mi'!B51=0,$B$5,($B$5-SUMPRODUCT(C52:G52,'Mkt Pen Veh-Mi'!C51:G51))/'Mkt Pen Veh-Mi'!B51)</f>
        <v>0.29838985841915322</v>
      </c>
      <c r="C52" s="1195">
        <f t="shared" si="6"/>
        <v>0.23569390966197759</v>
      </c>
      <c r="D52" s="1195">
        <f t="shared" si="7"/>
        <v>0.2359203014939131</v>
      </c>
      <c r="E52" s="1195">
        <f t="shared" si="8"/>
        <v>0.20273794063268169</v>
      </c>
      <c r="F52" s="1195">
        <f t="shared" si="9"/>
        <v>0.22063018481910956</v>
      </c>
      <c r="G52" s="1196">
        <f t="shared" si="10"/>
        <v>0</v>
      </c>
      <c r="H52" s="1194">
        <f>IF('Mkt Pen Veh-Mi'!H51=0,$H$5,($H$5-SUMPRODUCT(I52:M52,'Mkt Pen Veh-Mi'!I51:M51))/'Mkt Pen Veh-Mi'!H51)</f>
        <v>0.57827063731423101</v>
      </c>
      <c r="I52" s="1195">
        <f t="shared" si="11"/>
        <v>0.62349876846285712</v>
      </c>
      <c r="J52" s="1195">
        <f t="shared" si="12"/>
        <v>0.62235137474604185</v>
      </c>
      <c r="K52" s="1195">
        <f t="shared" si="13"/>
        <v>0.56130722831393376</v>
      </c>
      <c r="L52" s="1195">
        <f t="shared" si="14"/>
        <v>0.62093997506929377</v>
      </c>
      <c r="M52" s="1196">
        <f t="shared" si="15"/>
        <v>0</v>
      </c>
      <c r="N52" s="1194">
        <f>IF('Mkt Pen Veh-Mi'!N51=0,$N$5,($N$5-SUMPRODUCT(O52:S52,'Mkt Pen Veh-Mi'!O51:S51))/'Mkt Pen Veh-Mi'!N51)</f>
        <v>0.39932829613621107</v>
      </c>
      <c r="O52" s="1195">
        <f t="shared" si="16"/>
        <v>0.39780677252195368</v>
      </c>
      <c r="P52" s="1195">
        <f t="shared" si="17"/>
        <v>0.39775578323505034</v>
      </c>
      <c r="Q52" s="1195">
        <f t="shared" si="18"/>
        <v>0.41002808782719863</v>
      </c>
      <c r="R52" s="1195">
        <f t="shared" si="19"/>
        <v>0.39699845840591802</v>
      </c>
      <c r="S52" s="1196">
        <f t="shared" si="20"/>
        <v>0</v>
      </c>
    </row>
    <row r="53" spans="1:19" ht="15.75" thickBot="1" x14ac:dyDescent="0.3">
      <c r="A53" s="1204">
        <v>2050</v>
      </c>
      <c r="B53" s="1205">
        <f>IF('Mkt Pen Veh-Mi'!B52=0,$B$5,($B$5-SUMPRODUCT(C53:G53,'Mkt Pen Veh-Mi'!C52:G52))/'Mkt Pen Veh-Mi'!B52)</f>
        <v>0.29749985798249762</v>
      </c>
      <c r="C53" s="1206">
        <f t="shared" si="6"/>
        <v>0.2346949067557445</v>
      </c>
      <c r="D53" s="1206">
        <f t="shared" si="7"/>
        <v>0.23509933176836878</v>
      </c>
      <c r="E53" s="1206">
        <f t="shared" si="8"/>
        <v>0.20847384299558269</v>
      </c>
      <c r="F53" s="1206">
        <f t="shared" si="9"/>
        <v>0.22354969497118896</v>
      </c>
      <c r="G53" s="1207">
        <f t="shared" si="10"/>
        <v>0</v>
      </c>
      <c r="H53" s="1205">
        <f>IF('Mkt Pen Veh-Mi'!H52=0,$H$5,($H$5-SUMPRODUCT(I53:M53,'Mkt Pen Veh-Mi'!I52:M52))/'Mkt Pen Veh-Mi'!H52)</f>
        <v>0.59009456881930278</v>
      </c>
      <c r="I53" s="1206">
        <f t="shared" si="11"/>
        <v>0.62196232725678369</v>
      </c>
      <c r="J53" s="1206">
        <f t="shared" si="12"/>
        <v>0.62127044260916575</v>
      </c>
      <c r="K53" s="1206">
        <f t="shared" si="13"/>
        <v>0.56418071805356385</v>
      </c>
      <c r="L53" s="1206">
        <f t="shared" si="14"/>
        <v>0.62007390597241863</v>
      </c>
      <c r="M53" s="1207">
        <f t="shared" si="15"/>
        <v>0</v>
      </c>
      <c r="N53" s="1205">
        <f>IF('Mkt Pen Veh-Mi'!N52=0,$N$5,($N$5-SUMPRODUCT(O53:S53,'Mkt Pen Veh-Mi'!O52:S52))/'Mkt Pen Veh-Mi'!N52)</f>
        <v>0.39932829615802679</v>
      </c>
      <c r="O53" s="1206">
        <f t="shared" si="16"/>
        <v>0.39899653081724001</v>
      </c>
      <c r="P53" s="1206">
        <f t="shared" si="17"/>
        <v>0.39817425396593592</v>
      </c>
      <c r="Q53" s="1206">
        <f t="shared" si="18"/>
        <v>0.40732675598551116</v>
      </c>
      <c r="R53" s="1206">
        <f t="shared" si="19"/>
        <v>0.39447225320751245</v>
      </c>
      <c r="S53" s="1207">
        <f t="shared" si="20"/>
        <v>0</v>
      </c>
    </row>
    <row r="55" spans="1:19" x14ac:dyDescent="0.25">
      <c r="K55" s="1176">
        <f>MATCH($A53,$A$10:$A$53,0)</f>
        <v>44</v>
      </c>
    </row>
    <row r="56" spans="1:19" x14ac:dyDescent="0.25">
      <c r="K56" s="1176">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5"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defaultColWidth="9.140625" defaultRowHeight="15" x14ac:dyDescent="0.25"/>
  <cols>
    <col min="1" max="1" width="9.140625" style="1176"/>
    <col min="2" max="19" width="13.5703125" style="1176" customWidth="1"/>
    <col min="20" max="16384" width="9.140625" style="1176"/>
  </cols>
  <sheetData>
    <row r="1" spans="1:19" ht="15.75" x14ac:dyDescent="0.25">
      <c r="A1" s="1208" t="s">
        <v>315</v>
      </c>
    </row>
    <row r="3" spans="1:19" ht="15.75" thickBot="1" x14ac:dyDescent="0.3"/>
    <row r="4" spans="1:19" x14ac:dyDescent="0.25">
      <c r="A4" s="1177"/>
      <c r="B4" s="1595" t="s">
        <v>249</v>
      </c>
      <c r="C4" s="1596"/>
      <c r="D4" s="1596"/>
      <c r="E4" s="1596"/>
      <c r="F4" s="1596"/>
      <c r="G4" s="1597"/>
      <c r="H4" s="1595" t="s">
        <v>250</v>
      </c>
      <c r="I4" s="1596"/>
      <c r="J4" s="1596"/>
      <c r="K4" s="1596"/>
      <c r="L4" s="1596"/>
      <c r="M4" s="1597"/>
      <c r="N4" s="1595" t="s">
        <v>154</v>
      </c>
      <c r="O4" s="1596"/>
      <c r="P4" s="1596"/>
      <c r="Q4" s="1596"/>
      <c r="R4" s="1596"/>
      <c r="S4" s="1597"/>
    </row>
    <row r="5" spans="1:19" x14ac:dyDescent="0.25">
      <c r="A5" s="1178"/>
      <c r="B5" s="1598" t="s">
        <v>129</v>
      </c>
      <c r="C5" s="1599"/>
      <c r="D5" s="1599"/>
      <c r="E5" s="1599"/>
      <c r="F5" s="1599"/>
      <c r="G5" s="1600"/>
      <c r="H5" s="1598" t="s">
        <v>129</v>
      </c>
      <c r="I5" s="1599"/>
      <c r="J5" s="1599"/>
      <c r="K5" s="1599"/>
      <c r="L5" s="1599"/>
      <c r="M5" s="1600"/>
      <c r="N5" s="1598" t="s">
        <v>129</v>
      </c>
      <c r="O5" s="1599"/>
      <c r="P5" s="1599"/>
      <c r="Q5" s="1599"/>
      <c r="R5" s="1599"/>
      <c r="S5" s="1600"/>
    </row>
    <row r="6" spans="1:19" x14ac:dyDescent="0.25">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ht="30" x14ac:dyDescent="0.25">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x14ac:dyDescent="0.25">
      <c r="A8" s="1182" t="s">
        <v>314</v>
      </c>
      <c r="B8" s="1223" t="str">
        <f t="shared" ref="B8:G8" si="3">INDEX(TECH_OPT_FUEL2_Cls1,MATCH(B6,TECH_OPT_ROWS_Cls1,0))</f>
        <v>N/A</v>
      </c>
      <c r="C8" s="1224" t="str">
        <f t="shared" si="3"/>
        <v>N/A</v>
      </c>
      <c r="D8" s="1224" t="str">
        <f t="shared" si="3"/>
        <v>N/A</v>
      </c>
      <c r="E8" s="1224" t="str">
        <f t="shared" si="3"/>
        <v>N/A</v>
      </c>
      <c r="F8" s="1224" t="str">
        <f t="shared" si="3"/>
        <v>N/A</v>
      </c>
      <c r="G8" s="1225" t="str">
        <f t="shared" si="3"/>
        <v>N/A</v>
      </c>
      <c r="H8" s="1223" t="str">
        <f t="shared" ref="H8:M8" si="4">INDEX(TECH_OPT_FUEL2_Cls2,MATCH(H6,TECH_OPT_ROWS_Cls2,0))</f>
        <v>N/A</v>
      </c>
      <c r="I8" s="1224" t="str">
        <f t="shared" si="4"/>
        <v>N/A</v>
      </c>
      <c r="J8" s="1224" t="str">
        <f t="shared" si="4"/>
        <v>N/A</v>
      </c>
      <c r="K8" s="1224" t="str">
        <f t="shared" si="4"/>
        <v>N/A</v>
      </c>
      <c r="L8" s="1224" t="str">
        <f t="shared" si="4"/>
        <v>N/A</v>
      </c>
      <c r="M8" s="1225" t="str">
        <f t="shared" si="4"/>
        <v>N/A</v>
      </c>
      <c r="N8" s="1223" t="str">
        <f t="shared" ref="N8:S8" si="5">INDEX(TECH_OPT_FUEL2_Cls3,MATCH(N6,TECH_OPT_ROWS_Cls3,0))</f>
        <v>N/A</v>
      </c>
      <c r="O8" s="1224" t="str">
        <f t="shared" si="5"/>
        <v>N/A</v>
      </c>
      <c r="P8" s="1224" t="str">
        <f t="shared" si="5"/>
        <v>N/A</v>
      </c>
      <c r="Q8" s="1224" t="str">
        <f t="shared" si="5"/>
        <v>N/A</v>
      </c>
      <c r="R8" s="1224" t="str">
        <f t="shared" si="5"/>
        <v>N/A</v>
      </c>
      <c r="S8" s="1225" t="str">
        <f t="shared" si="5"/>
        <v>N/A</v>
      </c>
    </row>
    <row r="9" spans="1:19" ht="15.75" thickBot="1" x14ac:dyDescent="0.3">
      <c r="A9" s="1186" t="s">
        <v>3</v>
      </c>
      <c r="B9" s="1187" t="str">
        <f t="shared" ref="B9:G9" si="6">INDEX(TECH_OPT_FUEL1_Cls1,MATCH(B6,TECH_OPT_ROWS_Cls1,0))</f>
        <v>Diesel</v>
      </c>
      <c r="C9" s="1188" t="str">
        <f t="shared" si="6"/>
        <v>Diesel</v>
      </c>
      <c r="D9" s="1188" t="str">
        <f t="shared" si="6"/>
        <v>Diesel</v>
      </c>
      <c r="E9" s="1188" t="str">
        <f t="shared" si="6"/>
        <v>Electricity</v>
      </c>
      <c r="F9" s="1188" t="str">
        <f t="shared" si="6"/>
        <v>Hydrogen</v>
      </c>
      <c r="G9" s="1189" t="str">
        <f t="shared" si="6"/>
        <v>Diesel</v>
      </c>
      <c r="H9" s="1190" t="str">
        <f t="shared" ref="H9:M9" si="7">INDEX(TECH_OPT_FUEL1_Cls2,MATCH(H6,TECH_OPT_ROWS_Cls2,0))</f>
        <v>Diesel</v>
      </c>
      <c r="I9" s="1188" t="str">
        <f t="shared" si="7"/>
        <v>Diesel</v>
      </c>
      <c r="J9" s="1188" t="str">
        <f t="shared" si="7"/>
        <v>Diesel</v>
      </c>
      <c r="K9" s="1188" t="str">
        <f t="shared" si="7"/>
        <v>Electricity</v>
      </c>
      <c r="L9" s="1188" t="str">
        <f t="shared" si="7"/>
        <v>Hydrogen</v>
      </c>
      <c r="M9" s="1189" t="str">
        <f t="shared" si="7"/>
        <v>Diesel</v>
      </c>
      <c r="N9" s="1187" t="str">
        <f t="shared" ref="N9:S9" si="8">INDEX(TECH_OPT_FUEL1_Cls3,MATCH(N6,TECH_OPT_ROWS_Cls3,0))</f>
        <v>Diesel</v>
      </c>
      <c r="O9" s="1188" t="str">
        <f t="shared" si="8"/>
        <v>Diesel</v>
      </c>
      <c r="P9" s="1188" t="str">
        <f t="shared" si="8"/>
        <v>Diesel</v>
      </c>
      <c r="Q9" s="1188" t="str">
        <f t="shared" si="8"/>
        <v>Electricity</v>
      </c>
      <c r="R9" s="1188" t="str">
        <f t="shared" si="8"/>
        <v>Hydrogen</v>
      </c>
      <c r="S9" s="1189" t="str">
        <f t="shared" si="8"/>
        <v>Diesel</v>
      </c>
    </row>
    <row r="10" spans="1:19" ht="15.75" thickTop="1" x14ac:dyDescent="0.25">
      <c r="A10" s="1191">
        <v>2007</v>
      </c>
      <c r="B10" s="1192">
        <v>0</v>
      </c>
      <c r="C10" s="1193">
        <f>'7&amp;8 Sleep'!AD76</f>
        <v>0</v>
      </c>
      <c r="D10" s="1193">
        <f>'7&amp;8 Sleep'!AD128</f>
        <v>0</v>
      </c>
      <c r="E10" s="1193">
        <f>'7&amp;8 Sleep'!AD180</f>
        <v>0</v>
      </c>
      <c r="F10" s="1193">
        <f>'7&amp;8 Sleep'!AD233</f>
        <v>0</v>
      </c>
      <c r="G10" s="1218">
        <f>'7&amp;8 Sleep'!AD286</f>
        <v>0</v>
      </c>
      <c r="H10" s="1192">
        <v>0</v>
      </c>
      <c r="I10" s="1193">
        <f>'7&amp;8 Day'!AD76</f>
        <v>0</v>
      </c>
      <c r="J10" s="1193">
        <f>'7&amp;8 Day'!AD128</f>
        <v>0</v>
      </c>
      <c r="K10" s="1193">
        <f>'7&amp;8 Day'!AD180</f>
        <v>0</v>
      </c>
      <c r="L10" s="1193">
        <f>'7&amp;8 Day'!AD233</f>
        <v>0</v>
      </c>
      <c r="M10" s="1219">
        <f>'7&amp;8 Day'!AD286</f>
        <v>0</v>
      </c>
      <c r="N10" s="1192">
        <v>0</v>
      </c>
      <c r="O10" s="1193">
        <f>'7&amp;8 SU'!AD76</f>
        <v>0</v>
      </c>
      <c r="P10" s="1193">
        <f>'7&amp;8 SU'!AD128</f>
        <v>0</v>
      </c>
      <c r="Q10" s="1193">
        <f>'7&amp;8 SU'!AD180</f>
        <v>0</v>
      </c>
      <c r="R10" s="1193">
        <f>'7&amp;8 SU'!AD233</f>
        <v>0</v>
      </c>
      <c r="S10" s="1219">
        <f>'7&amp;8 SU'!AD286</f>
        <v>0</v>
      </c>
    </row>
    <row r="11" spans="1:19" x14ac:dyDescent="0.25">
      <c r="A11" s="1191">
        <v>2008</v>
      </c>
      <c r="B11" s="1194">
        <v>0</v>
      </c>
      <c r="C11" s="1195">
        <f>'7&amp;8 Sleep'!AD77</f>
        <v>0</v>
      </c>
      <c r="D11" s="1195">
        <f>'7&amp;8 Sleep'!AD129</f>
        <v>0</v>
      </c>
      <c r="E11" s="1195">
        <f>'7&amp;8 Sleep'!AD181</f>
        <v>0</v>
      </c>
      <c r="F11" s="1195">
        <f>'7&amp;8 Sleep'!AD234</f>
        <v>0</v>
      </c>
      <c r="G11" s="1196">
        <f>'7&amp;8 Sleep'!AD287</f>
        <v>0</v>
      </c>
      <c r="H11" s="1194">
        <v>0</v>
      </c>
      <c r="I11" s="1195">
        <f>'7&amp;8 Day'!AD77</f>
        <v>0</v>
      </c>
      <c r="J11" s="1195">
        <f>'7&amp;8 Day'!AD129</f>
        <v>0</v>
      </c>
      <c r="K11" s="1195">
        <f>'7&amp;8 Day'!AD181</f>
        <v>0</v>
      </c>
      <c r="L11" s="1195">
        <f>'7&amp;8 Day'!AD234</f>
        <v>0</v>
      </c>
      <c r="M11" s="1196">
        <f>'7&amp;8 Day'!AD287</f>
        <v>0</v>
      </c>
      <c r="N11" s="1194">
        <v>0</v>
      </c>
      <c r="O11" s="1195">
        <f>'7&amp;8 SU'!AD77</f>
        <v>0</v>
      </c>
      <c r="P11" s="1195">
        <f>'7&amp;8 SU'!AD129</f>
        <v>0</v>
      </c>
      <c r="Q11" s="1195">
        <f>'7&amp;8 SU'!AD181</f>
        <v>0</v>
      </c>
      <c r="R11" s="1195">
        <f>'7&amp;8 SU'!AD234</f>
        <v>0</v>
      </c>
      <c r="S11" s="1196">
        <f>'7&amp;8 SU'!AD287</f>
        <v>0</v>
      </c>
    </row>
    <row r="12" spans="1:19" x14ac:dyDescent="0.25">
      <c r="A12" s="1191">
        <v>2009</v>
      </c>
      <c r="B12" s="1194">
        <v>0</v>
      </c>
      <c r="C12" s="1195">
        <f>'7&amp;8 Sleep'!AD78</f>
        <v>0</v>
      </c>
      <c r="D12" s="1195">
        <f>'7&amp;8 Sleep'!AD130</f>
        <v>0</v>
      </c>
      <c r="E12" s="1195">
        <f>'7&amp;8 Sleep'!AD182</f>
        <v>0</v>
      </c>
      <c r="F12" s="1195">
        <f>'7&amp;8 Sleep'!AD235</f>
        <v>0</v>
      </c>
      <c r="G12" s="1196">
        <f>'7&amp;8 Sleep'!AD288</f>
        <v>0</v>
      </c>
      <c r="H12" s="1194">
        <v>0</v>
      </c>
      <c r="I12" s="1195">
        <f>'7&amp;8 Day'!AD78</f>
        <v>0</v>
      </c>
      <c r="J12" s="1195">
        <f>'7&amp;8 Day'!AD130</f>
        <v>0</v>
      </c>
      <c r="K12" s="1195">
        <f>'7&amp;8 Day'!AD182</f>
        <v>0</v>
      </c>
      <c r="L12" s="1195">
        <f>'7&amp;8 Day'!AD235</f>
        <v>0</v>
      </c>
      <c r="M12" s="1196">
        <f>'7&amp;8 Day'!AD288</f>
        <v>0</v>
      </c>
      <c r="N12" s="1194">
        <v>0</v>
      </c>
      <c r="O12" s="1195">
        <f>'7&amp;8 SU'!AD78</f>
        <v>0</v>
      </c>
      <c r="P12" s="1195">
        <f>'7&amp;8 SU'!AD130</f>
        <v>0</v>
      </c>
      <c r="Q12" s="1195">
        <f>'7&amp;8 SU'!AD182</f>
        <v>0</v>
      </c>
      <c r="R12" s="1195">
        <f>'7&amp;8 SU'!AD235</f>
        <v>0</v>
      </c>
      <c r="S12" s="1196">
        <f>'7&amp;8 SU'!AD288</f>
        <v>0</v>
      </c>
    </row>
    <row r="13" spans="1:19" x14ac:dyDescent="0.25">
      <c r="A13" s="1197">
        <v>2010</v>
      </c>
      <c r="B13" s="1198">
        <v>0</v>
      </c>
      <c r="C13" s="1199">
        <f>'7&amp;8 Sleep'!AD79</f>
        <v>0</v>
      </c>
      <c r="D13" s="1199">
        <f>'7&amp;8 Sleep'!AD131</f>
        <v>0</v>
      </c>
      <c r="E13" s="1199">
        <f>'7&amp;8 Sleep'!AD183</f>
        <v>0</v>
      </c>
      <c r="F13" s="1199">
        <f>'7&amp;8 Sleep'!AD236</f>
        <v>0</v>
      </c>
      <c r="G13" s="1200">
        <f>'7&amp;8 Sleep'!AD289</f>
        <v>0</v>
      </c>
      <c r="H13" s="1198">
        <v>0</v>
      </c>
      <c r="I13" s="1199">
        <f>'7&amp;8 Day'!AD79</f>
        <v>0</v>
      </c>
      <c r="J13" s="1199">
        <f>'7&amp;8 Day'!AD131</f>
        <v>0</v>
      </c>
      <c r="K13" s="1199">
        <f>'7&amp;8 Day'!AD183</f>
        <v>0</v>
      </c>
      <c r="L13" s="1199">
        <f>'7&amp;8 Day'!AD236</f>
        <v>0</v>
      </c>
      <c r="M13" s="1200">
        <f>'7&amp;8 Day'!AD289</f>
        <v>0</v>
      </c>
      <c r="N13" s="1198">
        <v>0</v>
      </c>
      <c r="O13" s="1199">
        <f>'7&amp;8 SU'!AD79</f>
        <v>0</v>
      </c>
      <c r="P13" s="1199">
        <f>'7&amp;8 SU'!AD131</f>
        <v>0</v>
      </c>
      <c r="Q13" s="1199">
        <f>'7&amp;8 SU'!AD183</f>
        <v>0</v>
      </c>
      <c r="R13" s="1199">
        <f>'7&amp;8 SU'!AD236</f>
        <v>0</v>
      </c>
      <c r="S13" s="1200">
        <f>'7&amp;8 SU'!AD289</f>
        <v>0</v>
      </c>
    </row>
    <row r="14" spans="1:19" x14ac:dyDescent="0.25">
      <c r="A14" s="1191">
        <v>2011</v>
      </c>
      <c r="B14" s="1201">
        <v>0</v>
      </c>
      <c r="C14" s="1202">
        <f>'7&amp;8 Sleep'!AD80</f>
        <v>0</v>
      </c>
      <c r="D14" s="1202">
        <f>'7&amp;8 Sleep'!AD132</f>
        <v>0</v>
      </c>
      <c r="E14" s="1202">
        <f>'7&amp;8 Sleep'!AD184</f>
        <v>0</v>
      </c>
      <c r="F14" s="1202">
        <f>'7&amp;8 Sleep'!AD237</f>
        <v>0</v>
      </c>
      <c r="G14" s="1203">
        <f>'7&amp;8 Sleep'!AD290</f>
        <v>0</v>
      </c>
      <c r="H14" s="1201">
        <v>0</v>
      </c>
      <c r="I14" s="1202">
        <f>'7&amp;8 Day'!AD80</f>
        <v>0</v>
      </c>
      <c r="J14" s="1202">
        <f>'7&amp;8 Day'!AD132</f>
        <v>0</v>
      </c>
      <c r="K14" s="1202">
        <f>'7&amp;8 Day'!AD184</f>
        <v>0</v>
      </c>
      <c r="L14" s="1202">
        <f>'7&amp;8 Day'!AD237</f>
        <v>0</v>
      </c>
      <c r="M14" s="1203">
        <f>'7&amp;8 Day'!AD290</f>
        <v>0</v>
      </c>
      <c r="N14" s="1201">
        <v>0</v>
      </c>
      <c r="O14" s="1202">
        <f>'7&amp;8 SU'!AD80</f>
        <v>0</v>
      </c>
      <c r="P14" s="1202">
        <f>'7&amp;8 SU'!AD132</f>
        <v>0</v>
      </c>
      <c r="Q14" s="1202">
        <f>'7&amp;8 SU'!AD184</f>
        <v>0</v>
      </c>
      <c r="R14" s="1202">
        <f>'7&amp;8 SU'!AD237</f>
        <v>0</v>
      </c>
      <c r="S14" s="1203">
        <f>'7&amp;8 SU'!AD290</f>
        <v>0</v>
      </c>
    </row>
    <row r="15" spans="1:19" x14ac:dyDescent="0.25">
      <c r="A15" s="1191">
        <v>2012</v>
      </c>
      <c r="B15" s="1194">
        <v>0</v>
      </c>
      <c r="C15" s="1195">
        <f>'7&amp;8 Sleep'!AD81</f>
        <v>0</v>
      </c>
      <c r="D15" s="1195">
        <f>'7&amp;8 Sleep'!AD133</f>
        <v>0</v>
      </c>
      <c r="E15" s="1195">
        <f>'7&amp;8 Sleep'!AD185</f>
        <v>0</v>
      </c>
      <c r="F15" s="1195">
        <f>'7&amp;8 Sleep'!AD238</f>
        <v>0</v>
      </c>
      <c r="G15" s="1196">
        <f>'7&amp;8 Sleep'!AD291</f>
        <v>0</v>
      </c>
      <c r="H15" s="1194">
        <v>0</v>
      </c>
      <c r="I15" s="1195">
        <f>'7&amp;8 Day'!AD81</f>
        <v>0</v>
      </c>
      <c r="J15" s="1195">
        <f>'7&amp;8 Day'!AD133</f>
        <v>0</v>
      </c>
      <c r="K15" s="1195">
        <f>'7&amp;8 Day'!AD185</f>
        <v>0</v>
      </c>
      <c r="L15" s="1195">
        <f>'7&amp;8 Day'!AD238</f>
        <v>0</v>
      </c>
      <c r="M15" s="1196">
        <f>'7&amp;8 Day'!AD291</f>
        <v>0</v>
      </c>
      <c r="N15" s="1194">
        <v>0</v>
      </c>
      <c r="O15" s="1195">
        <f>'7&amp;8 SU'!AD81</f>
        <v>0</v>
      </c>
      <c r="P15" s="1195">
        <f>'7&amp;8 SU'!AD133</f>
        <v>0</v>
      </c>
      <c r="Q15" s="1195">
        <f>'7&amp;8 SU'!AD185</f>
        <v>0</v>
      </c>
      <c r="R15" s="1195">
        <f>'7&amp;8 SU'!AD238</f>
        <v>0</v>
      </c>
      <c r="S15" s="1196">
        <f>'7&amp;8 SU'!AD291</f>
        <v>0</v>
      </c>
    </row>
    <row r="16" spans="1:19" x14ac:dyDescent="0.25">
      <c r="A16" s="1191">
        <v>2013</v>
      </c>
      <c r="B16" s="1194">
        <v>0</v>
      </c>
      <c r="C16" s="1195">
        <f>'7&amp;8 Sleep'!AD82</f>
        <v>0</v>
      </c>
      <c r="D16" s="1195">
        <f>'7&amp;8 Sleep'!AD134</f>
        <v>0</v>
      </c>
      <c r="E16" s="1195">
        <f>'7&amp;8 Sleep'!AD186</f>
        <v>0</v>
      </c>
      <c r="F16" s="1195">
        <f>'7&amp;8 Sleep'!AD239</f>
        <v>0</v>
      </c>
      <c r="G16" s="1196">
        <f>'7&amp;8 Sleep'!AD292</f>
        <v>0</v>
      </c>
      <c r="H16" s="1194">
        <v>0</v>
      </c>
      <c r="I16" s="1195">
        <f>'7&amp;8 Day'!AD82</f>
        <v>0</v>
      </c>
      <c r="J16" s="1195">
        <f>'7&amp;8 Day'!AD134</f>
        <v>0</v>
      </c>
      <c r="K16" s="1195">
        <f>'7&amp;8 Day'!AD186</f>
        <v>0</v>
      </c>
      <c r="L16" s="1195">
        <f>'7&amp;8 Day'!AD239</f>
        <v>0</v>
      </c>
      <c r="M16" s="1196">
        <f>'7&amp;8 Day'!AD292</f>
        <v>0</v>
      </c>
      <c r="N16" s="1194">
        <v>0</v>
      </c>
      <c r="O16" s="1195">
        <f>'7&amp;8 SU'!AD82</f>
        <v>0</v>
      </c>
      <c r="P16" s="1195">
        <f>'7&amp;8 SU'!AD134</f>
        <v>0</v>
      </c>
      <c r="Q16" s="1195">
        <f>'7&amp;8 SU'!AD186</f>
        <v>0</v>
      </c>
      <c r="R16" s="1195">
        <f>'7&amp;8 SU'!AD239</f>
        <v>0</v>
      </c>
      <c r="S16" s="1196">
        <f>'7&amp;8 SU'!AD292</f>
        <v>0</v>
      </c>
    </row>
    <row r="17" spans="1:19" x14ac:dyDescent="0.25">
      <c r="A17" s="1191">
        <v>2014</v>
      </c>
      <c r="B17" s="1194">
        <v>0</v>
      </c>
      <c r="C17" s="1195">
        <f>'7&amp;8 Sleep'!AD83</f>
        <v>0</v>
      </c>
      <c r="D17" s="1195">
        <f>'7&amp;8 Sleep'!AD135</f>
        <v>0</v>
      </c>
      <c r="E17" s="1195">
        <f>'7&amp;8 Sleep'!AD187</f>
        <v>0</v>
      </c>
      <c r="F17" s="1195">
        <f>'7&amp;8 Sleep'!AD240</f>
        <v>0</v>
      </c>
      <c r="G17" s="1196">
        <f>'7&amp;8 Sleep'!AD293</f>
        <v>0</v>
      </c>
      <c r="H17" s="1194">
        <v>0</v>
      </c>
      <c r="I17" s="1195">
        <f>'7&amp;8 Day'!AD83</f>
        <v>0</v>
      </c>
      <c r="J17" s="1195">
        <f>'7&amp;8 Day'!AD135</f>
        <v>0</v>
      </c>
      <c r="K17" s="1195">
        <f>'7&amp;8 Day'!AD187</f>
        <v>0</v>
      </c>
      <c r="L17" s="1195">
        <f>'7&amp;8 Day'!AD240</f>
        <v>0</v>
      </c>
      <c r="M17" s="1196">
        <f>'7&amp;8 Day'!AD293</f>
        <v>0</v>
      </c>
      <c r="N17" s="1194">
        <v>0</v>
      </c>
      <c r="O17" s="1195">
        <f>'7&amp;8 SU'!AD83</f>
        <v>0</v>
      </c>
      <c r="P17" s="1195">
        <f>'7&amp;8 SU'!AD135</f>
        <v>0</v>
      </c>
      <c r="Q17" s="1195">
        <f>'7&amp;8 SU'!AD187</f>
        <v>0</v>
      </c>
      <c r="R17" s="1195">
        <f>'7&amp;8 SU'!AD240</f>
        <v>0</v>
      </c>
      <c r="S17" s="1196">
        <f>'7&amp;8 SU'!AD293</f>
        <v>0</v>
      </c>
    </row>
    <row r="18" spans="1:19" x14ac:dyDescent="0.25">
      <c r="A18" s="1197">
        <v>2015</v>
      </c>
      <c r="B18" s="1198">
        <v>0</v>
      </c>
      <c r="C18" s="1199">
        <f>'7&amp;8 Sleep'!AD84</f>
        <v>0</v>
      </c>
      <c r="D18" s="1199">
        <f>'7&amp;8 Sleep'!AD136</f>
        <v>0</v>
      </c>
      <c r="E18" s="1199">
        <f>'7&amp;8 Sleep'!AD188</f>
        <v>0</v>
      </c>
      <c r="F18" s="1199">
        <f>'7&amp;8 Sleep'!AD241</f>
        <v>0</v>
      </c>
      <c r="G18" s="1200">
        <f>'7&amp;8 Sleep'!AD294</f>
        <v>0</v>
      </c>
      <c r="H18" s="1198">
        <v>0</v>
      </c>
      <c r="I18" s="1199">
        <f>'7&amp;8 Day'!AD84</f>
        <v>0</v>
      </c>
      <c r="J18" s="1199">
        <f>'7&amp;8 Day'!AD136</f>
        <v>0</v>
      </c>
      <c r="K18" s="1199">
        <f>'7&amp;8 Day'!AD188</f>
        <v>0</v>
      </c>
      <c r="L18" s="1199">
        <f>'7&amp;8 Day'!AD241</f>
        <v>0</v>
      </c>
      <c r="M18" s="1200">
        <f>'7&amp;8 Day'!AD294</f>
        <v>0</v>
      </c>
      <c r="N18" s="1198">
        <v>0</v>
      </c>
      <c r="O18" s="1199">
        <f>'7&amp;8 SU'!AD84</f>
        <v>0</v>
      </c>
      <c r="P18" s="1199">
        <f>'7&amp;8 SU'!AD136</f>
        <v>0</v>
      </c>
      <c r="Q18" s="1199">
        <f>'7&amp;8 SU'!AD188</f>
        <v>0</v>
      </c>
      <c r="R18" s="1199">
        <f>'7&amp;8 SU'!AD241</f>
        <v>0</v>
      </c>
      <c r="S18" s="1200">
        <f>'7&amp;8 SU'!AD294</f>
        <v>0</v>
      </c>
    </row>
    <row r="19" spans="1:19" x14ac:dyDescent="0.25">
      <c r="A19" s="1191">
        <v>2016</v>
      </c>
      <c r="B19" s="1201">
        <v>0</v>
      </c>
      <c r="C19" s="1202">
        <f>'7&amp;8 Sleep'!AD85</f>
        <v>0</v>
      </c>
      <c r="D19" s="1202">
        <f>'7&amp;8 Sleep'!AD137</f>
        <v>0</v>
      </c>
      <c r="E19" s="1202">
        <f>'7&amp;8 Sleep'!AD189</f>
        <v>0</v>
      </c>
      <c r="F19" s="1202">
        <f>'7&amp;8 Sleep'!AD242</f>
        <v>0</v>
      </c>
      <c r="G19" s="1203">
        <f>'7&amp;8 Sleep'!AD295</f>
        <v>0</v>
      </c>
      <c r="H19" s="1201">
        <v>0</v>
      </c>
      <c r="I19" s="1202">
        <f>'7&amp;8 Day'!AD85</f>
        <v>0</v>
      </c>
      <c r="J19" s="1202">
        <f>'7&amp;8 Day'!AD137</f>
        <v>0</v>
      </c>
      <c r="K19" s="1202">
        <f>'7&amp;8 Day'!AD189</f>
        <v>0</v>
      </c>
      <c r="L19" s="1202">
        <f>'7&amp;8 Day'!AD242</f>
        <v>0</v>
      </c>
      <c r="M19" s="1203">
        <f>'7&amp;8 Day'!AD295</f>
        <v>0</v>
      </c>
      <c r="N19" s="1201">
        <v>0</v>
      </c>
      <c r="O19" s="1202">
        <f>'7&amp;8 SU'!AD85</f>
        <v>0</v>
      </c>
      <c r="P19" s="1202">
        <f>'7&amp;8 SU'!AD137</f>
        <v>0</v>
      </c>
      <c r="Q19" s="1202">
        <f>'7&amp;8 SU'!AD189</f>
        <v>0</v>
      </c>
      <c r="R19" s="1202">
        <f>'7&amp;8 SU'!AD242</f>
        <v>0</v>
      </c>
      <c r="S19" s="1203">
        <f>'7&amp;8 SU'!AD295</f>
        <v>0</v>
      </c>
    </row>
    <row r="20" spans="1:19" x14ac:dyDescent="0.25">
      <c r="A20" s="1191">
        <v>2017</v>
      </c>
      <c r="B20" s="1194">
        <v>0</v>
      </c>
      <c r="C20" s="1195">
        <f>'7&amp;8 Sleep'!AD86</f>
        <v>0</v>
      </c>
      <c r="D20" s="1195">
        <f>'7&amp;8 Sleep'!AD138</f>
        <v>0</v>
      </c>
      <c r="E20" s="1195">
        <f>'7&amp;8 Sleep'!AD190</f>
        <v>0</v>
      </c>
      <c r="F20" s="1195">
        <f>'7&amp;8 Sleep'!AD243</f>
        <v>0</v>
      </c>
      <c r="G20" s="1196">
        <f>'7&amp;8 Sleep'!AD296</f>
        <v>0</v>
      </c>
      <c r="H20" s="1194">
        <v>0</v>
      </c>
      <c r="I20" s="1195">
        <f>'7&amp;8 Day'!AD86</f>
        <v>0</v>
      </c>
      <c r="J20" s="1195">
        <f>'7&amp;8 Day'!AD138</f>
        <v>0</v>
      </c>
      <c r="K20" s="1195">
        <f>'7&amp;8 Day'!AD190</f>
        <v>0</v>
      </c>
      <c r="L20" s="1195">
        <f>'7&amp;8 Day'!AD243</f>
        <v>0</v>
      </c>
      <c r="M20" s="1196">
        <f>'7&amp;8 Day'!AD296</f>
        <v>0</v>
      </c>
      <c r="N20" s="1194">
        <v>0</v>
      </c>
      <c r="O20" s="1195">
        <f>'7&amp;8 SU'!AD86</f>
        <v>0</v>
      </c>
      <c r="P20" s="1195">
        <f>'7&amp;8 SU'!AD138</f>
        <v>0</v>
      </c>
      <c r="Q20" s="1195">
        <f>'7&amp;8 SU'!AD190</f>
        <v>0</v>
      </c>
      <c r="R20" s="1195">
        <f>'7&amp;8 SU'!AD243</f>
        <v>0</v>
      </c>
      <c r="S20" s="1196">
        <f>'7&amp;8 SU'!AD296</f>
        <v>0</v>
      </c>
    </row>
    <row r="21" spans="1:19" x14ac:dyDescent="0.25">
      <c r="A21" s="1191">
        <v>2018</v>
      </c>
      <c r="B21" s="1194">
        <v>0</v>
      </c>
      <c r="C21" s="1195">
        <f>'7&amp;8 Sleep'!AD87</f>
        <v>0</v>
      </c>
      <c r="D21" s="1195">
        <f>'7&amp;8 Sleep'!AD139</f>
        <v>0</v>
      </c>
      <c r="E21" s="1195">
        <f>'7&amp;8 Sleep'!AD191</f>
        <v>0</v>
      </c>
      <c r="F21" s="1195">
        <f>'7&amp;8 Sleep'!AD244</f>
        <v>0</v>
      </c>
      <c r="G21" s="1196">
        <f>'7&amp;8 Sleep'!AD297</f>
        <v>0</v>
      </c>
      <c r="H21" s="1194">
        <v>0</v>
      </c>
      <c r="I21" s="1195">
        <f>'7&amp;8 Day'!AD87</f>
        <v>0</v>
      </c>
      <c r="J21" s="1195">
        <f>'7&amp;8 Day'!AD139</f>
        <v>0</v>
      </c>
      <c r="K21" s="1195">
        <f>'7&amp;8 Day'!AD191</f>
        <v>0</v>
      </c>
      <c r="L21" s="1195">
        <f>'7&amp;8 Day'!AD244</f>
        <v>0</v>
      </c>
      <c r="M21" s="1196">
        <f>'7&amp;8 Day'!AD297</f>
        <v>0</v>
      </c>
      <c r="N21" s="1194">
        <v>0</v>
      </c>
      <c r="O21" s="1195">
        <f>'7&amp;8 SU'!AD87</f>
        <v>0</v>
      </c>
      <c r="P21" s="1195">
        <f>'7&amp;8 SU'!AD139</f>
        <v>0</v>
      </c>
      <c r="Q21" s="1195">
        <f>'7&amp;8 SU'!AD191</f>
        <v>0</v>
      </c>
      <c r="R21" s="1195">
        <f>'7&amp;8 SU'!AD244</f>
        <v>0</v>
      </c>
      <c r="S21" s="1196">
        <f>'7&amp;8 SU'!AD297</f>
        <v>0</v>
      </c>
    </row>
    <row r="22" spans="1:19" x14ac:dyDescent="0.25">
      <c r="A22" s="1191">
        <v>2019</v>
      </c>
      <c r="B22" s="1194">
        <v>0</v>
      </c>
      <c r="C22" s="1195">
        <f>'7&amp;8 Sleep'!AD88</f>
        <v>0</v>
      </c>
      <c r="D22" s="1195">
        <f>'7&amp;8 Sleep'!AD140</f>
        <v>0</v>
      </c>
      <c r="E22" s="1195">
        <f>'7&amp;8 Sleep'!AD192</f>
        <v>0</v>
      </c>
      <c r="F22" s="1195">
        <f>'7&amp;8 Sleep'!AD245</f>
        <v>0</v>
      </c>
      <c r="G22" s="1196">
        <f>'7&amp;8 Sleep'!AD298</f>
        <v>0</v>
      </c>
      <c r="H22" s="1194">
        <v>0</v>
      </c>
      <c r="I22" s="1195">
        <f>'7&amp;8 Day'!AD88</f>
        <v>0</v>
      </c>
      <c r="J22" s="1195">
        <f>'7&amp;8 Day'!AD140</f>
        <v>0</v>
      </c>
      <c r="K22" s="1195">
        <f>'7&amp;8 Day'!AD192</f>
        <v>0</v>
      </c>
      <c r="L22" s="1195">
        <f>'7&amp;8 Day'!AD245</f>
        <v>0</v>
      </c>
      <c r="M22" s="1196">
        <f>'7&amp;8 Day'!AD298</f>
        <v>0</v>
      </c>
      <c r="N22" s="1194">
        <v>0</v>
      </c>
      <c r="O22" s="1195">
        <f>'7&amp;8 SU'!AD88</f>
        <v>0</v>
      </c>
      <c r="P22" s="1195">
        <f>'7&amp;8 SU'!AD140</f>
        <v>0</v>
      </c>
      <c r="Q22" s="1195">
        <f>'7&amp;8 SU'!AD192</f>
        <v>0</v>
      </c>
      <c r="R22" s="1195">
        <f>'7&amp;8 SU'!AD245</f>
        <v>0</v>
      </c>
      <c r="S22" s="1196">
        <f>'7&amp;8 SU'!AD298</f>
        <v>0</v>
      </c>
    </row>
    <row r="23" spans="1:19" x14ac:dyDescent="0.25">
      <c r="A23" s="1197">
        <v>2020</v>
      </c>
      <c r="B23" s="1198">
        <v>0</v>
      </c>
      <c r="C23" s="1199">
        <f>'7&amp;8 Sleep'!AD89</f>
        <v>0</v>
      </c>
      <c r="D23" s="1199">
        <f>'7&amp;8 Sleep'!AD141</f>
        <v>0</v>
      </c>
      <c r="E23" s="1199">
        <f>'7&amp;8 Sleep'!AD193</f>
        <v>0</v>
      </c>
      <c r="F23" s="1199">
        <f>'7&amp;8 Sleep'!AD246</f>
        <v>0</v>
      </c>
      <c r="G23" s="1200">
        <f>'7&amp;8 Sleep'!AD299</f>
        <v>0</v>
      </c>
      <c r="H23" s="1198">
        <v>0</v>
      </c>
      <c r="I23" s="1199">
        <f>'7&amp;8 Day'!AD89</f>
        <v>0</v>
      </c>
      <c r="J23" s="1199">
        <f>'7&amp;8 Day'!AD141</f>
        <v>0</v>
      </c>
      <c r="K23" s="1199">
        <f>'7&amp;8 Day'!AD193</f>
        <v>0</v>
      </c>
      <c r="L23" s="1199">
        <f>'7&amp;8 Day'!AD246</f>
        <v>0</v>
      </c>
      <c r="M23" s="1200">
        <f>'7&amp;8 Day'!AD299</f>
        <v>0</v>
      </c>
      <c r="N23" s="1198">
        <v>0</v>
      </c>
      <c r="O23" s="1199">
        <f>'7&amp;8 SU'!AD89</f>
        <v>0</v>
      </c>
      <c r="P23" s="1199">
        <f>'7&amp;8 SU'!AD141</f>
        <v>0</v>
      </c>
      <c r="Q23" s="1199">
        <f>'7&amp;8 SU'!AD193</f>
        <v>0</v>
      </c>
      <c r="R23" s="1199">
        <f>'7&amp;8 SU'!AD246</f>
        <v>0</v>
      </c>
      <c r="S23" s="1200">
        <f>'7&amp;8 SU'!AD299</f>
        <v>0</v>
      </c>
    </row>
    <row r="24" spans="1:19" x14ac:dyDescent="0.25">
      <c r="A24" s="1191">
        <v>2021</v>
      </c>
      <c r="B24" s="1201">
        <v>0</v>
      </c>
      <c r="C24" s="1202">
        <f>'7&amp;8 Sleep'!AD90</f>
        <v>0</v>
      </c>
      <c r="D24" s="1202">
        <f>'7&amp;8 Sleep'!AD142</f>
        <v>0</v>
      </c>
      <c r="E24" s="1202">
        <f>'7&amp;8 Sleep'!AD194</f>
        <v>0</v>
      </c>
      <c r="F24" s="1202">
        <f>'7&amp;8 Sleep'!AD247</f>
        <v>0</v>
      </c>
      <c r="G24" s="1203">
        <f>'7&amp;8 Sleep'!AD300</f>
        <v>0</v>
      </c>
      <c r="H24" s="1201">
        <v>0</v>
      </c>
      <c r="I24" s="1202">
        <f>'7&amp;8 Day'!AD90</f>
        <v>0</v>
      </c>
      <c r="J24" s="1202">
        <f>'7&amp;8 Day'!AD142</f>
        <v>0</v>
      </c>
      <c r="K24" s="1202">
        <f>'7&amp;8 Day'!AD194</f>
        <v>0</v>
      </c>
      <c r="L24" s="1202">
        <f>'7&amp;8 Day'!AD247</f>
        <v>0</v>
      </c>
      <c r="M24" s="1203">
        <f>'7&amp;8 Day'!AD300</f>
        <v>0</v>
      </c>
      <c r="N24" s="1201">
        <v>0</v>
      </c>
      <c r="O24" s="1202">
        <f>'7&amp;8 SU'!AD90</f>
        <v>0</v>
      </c>
      <c r="P24" s="1202">
        <f>'7&amp;8 SU'!AD142</f>
        <v>0</v>
      </c>
      <c r="Q24" s="1202">
        <f>'7&amp;8 SU'!AD194</f>
        <v>0</v>
      </c>
      <c r="R24" s="1202">
        <f>'7&amp;8 SU'!AD247</f>
        <v>0</v>
      </c>
      <c r="S24" s="1203">
        <f>'7&amp;8 SU'!AD300</f>
        <v>0</v>
      </c>
    </row>
    <row r="25" spans="1:19" x14ac:dyDescent="0.25">
      <c r="A25" s="1191">
        <v>2022</v>
      </c>
      <c r="B25" s="1194">
        <v>0</v>
      </c>
      <c r="C25" s="1195">
        <f>'7&amp;8 Sleep'!AD91</f>
        <v>0</v>
      </c>
      <c r="D25" s="1195">
        <f>'7&amp;8 Sleep'!AD143</f>
        <v>0</v>
      </c>
      <c r="E25" s="1195">
        <f>'7&amp;8 Sleep'!AD195</f>
        <v>0</v>
      </c>
      <c r="F25" s="1195">
        <f>'7&amp;8 Sleep'!AD248</f>
        <v>0</v>
      </c>
      <c r="G25" s="1196">
        <f>'7&amp;8 Sleep'!AD301</f>
        <v>0</v>
      </c>
      <c r="H25" s="1194">
        <v>0</v>
      </c>
      <c r="I25" s="1195">
        <f>'7&amp;8 Day'!AD91</f>
        <v>0</v>
      </c>
      <c r="J25" s="1195">
        <f>'7&amp;8 Day'!AD143</f>
        <v>0</v>
      </c>
      <c r="K25" s="1195">
        <f>'7&amp;8 Day'!AD195</f>
        <v>0</v>
      </c>
      <c r="L25" s="1195">
        <f>'7&amp;8 Day'!AD248</f>
        <v>0</v>
      </c>
      <c r="M25" s="1196">
        <f>'7&amp;8 Day'!AD301</f>
        <v>0</v>
      </c>
      <c r="N25" s="1194">
        <v>0</v>
      </c>
      <c r="O25" s="1195">
        <f>'7&amp;8 SU'!AD91</f>
        <v>0</v>
      </c>
      <c r="P25" s="1195">
        <f>'7&amp;8 SU'!AD143</f>
        <v>0</v>
      </c>
      <c r="Q25" s="1195">
        <f>'7&amp;8 SU'!AD195</f>
        <v>0</v>
      </c>
      <c r="R25" s="1195">
        <f>'7&amp;8 SU'!AD248</f>
        <v>0</v>
      </c>
      <c r="S25" s="1196">
        <f>'7&amp;8 SU'!AD301</f>
        <v>0</v>
      </c>
    </row>
    <row r="26" spans="1:19" x14ac:dyDescent="0.25">
      <c r="A26" s="1191">
        <v>2023</v>
      </c>
      <c r="B26" s="1194">
        <v>0</v>
      </c>
      <c r="C26" s="1195">
        <f>'7&amp;8 Sleep'!AD92</f>
        <v>0</v>
      </c>
      <c r="D26" s="1195">
        <f>'7&amp;8 Sleep'!AD144</f>
        <v>0</v>
      </c>
      <c r="E26" s="1195">
        <f>'7&amp;8 Sleep'!AD196</f>
        <v>0</v>
      </c>
      <c r="F26" s="1195">
        <f>'7&amp;8 Sleep'!AD249</f>
        <v>0</v>
      </c>
      <c r="G26" s="1196">
        <f>'7&amp;8 Sleep'!AD302</f>
        <v>0</v>
      </c>
      <c r="H26" s="1194">
        <v>0</v>
      </c>
      <c r="I26" s="1195">
        <f>'7&amp;8 Day'!AD92</f>
        <v>0</v>
      </c>
      <c r="J26" s="1195">
        <f>'7&amp;8 Day'!AD144</f>
        <v>0</v>
      </c>
      <c r="K26" s="1195">
        <f>'7&amp;8 Day'!AD196</f>
        <v>0</v>
      </c>
      <c r="L26" s="1195">
        <f>'7&amp;8 Day'!AD249</f>
        <v>0</v>
      </c>
      <c r="M26" s="1196">
        <f>'7&amp;8 Day'!AD302</f>
        <v>0</v>
      </c>
      <c r="N26" s="1194">
        <v>0</v>
      </c>
      <c r="O26" s="1195">
        <f>'7&amp;8 SU'!AD92</f>
        <v>0</v>
      </c>
      <c r="P26" s="1195">
        <f>'7&amp;8 SU'!AD144</f>
        <v>0</v>
      </c>
      <c r="Q26" s="1195">
        <f>'7&amp;8 SU'!AD196</f>
        <v>0</v>
      </c>
      <c r="R26" s="1195">
        <f>'7&amp;8 SU'!AD249</f>
        <v>0</v>
      </c>
      <c r="S26" s="1196">
        <f>'7&amp;8 SU'!AD302</f>
        <v>0</v>
      </c>
    </row>
    <row r="27" spans="1:19" x14ac:dyDescent="0.25">
      <c r="A27" s="1191">
        <v>2024</v>
      </c>
      <c r="B27" s="1194">
        <v>0</v>
      </c>
      <c r="C27" s="1195">
        <f>'7&amp;8 Sleep'!AD93</f>
        <v>0</v>
      </c>
      <c r="D27" s="1195">
        <f>'7&amp;8 Sleep'!AD145</f>
        <v>0</v>
      </c>
      <c r="E27" s="1195">
        <f>'7&amp;8 Sleep'!AD197</f>
        <v>0</v>
      </c>
      <c r="F27" s="1195">
        <f>'7&amp;8 Sleep'!AD250</f>
        <v>0</v>
      </c>
      <c r="G27" s="1196">
        <f>'7&amp;8 Sleep'!AD303</f>
        <v>0</v>
      </c>
      <c r="H27" s="1194">
        <v>0</v>
      </c>
      <c r="I27" s="1195">
        <f>'7&amp;8 Day'!AD93</f>
        <v>0</v>
      </c>
      <c r="J27" s="1195">
        <f>'7&amp;8 Day'!AD145</f>
        <v>0</v>
      </c>
      <c r="K27" s="1195">
        <f>'7&amp;8 Day'!AD197</f>
        <v>0</v>
      </c>
      <c r="L27" s="1195">
        <f>'7&amp;8 Day'!AD250</f>
        <v>0</v>
      </c>
      <c r="M27" s="1196">
        <f>'7&amp;8 Day'!AD303</f>
        <v>0</v>
      </c>
      <c r="N27" s="1194">
        <v>0</v>
      </c>
      <c r="O27" s="1195">
        <f>'7&amp;8 SU'!AD93</f>
        <v>0</v>
      </c>
      <c r="P27" s="1195">
        <f>'7&amp;8 SU'!AD145</f>
        <v>0</v>
      </c>
      <c r="Q27" s="1195">
        <f>'7&amp;8 SU'!AD197</f>
        <v>0</v>
      </c>
      <c r="R27" s="1195">
        <f>'7&amp;8 SU'!AD250</f>
        <v>0</v>
      </c>
      <c r="S27" s="1196">
        <f>'7&amp;8 SU'!AD303</f>
        <v>0</v>
      </c>
    </row>
    <row r="28" spans="1:19" x14ac:dyDescent="0.25">
      <c r="A28" s="1197">
        <v>2025</v>
      </c>
      <c r="B28" s="1198">
        <v>0</v>
      </c>
      <c r="C28" s="1199">
        <f>'7&amp;8 Sleep'!AD94</f>
        <v>0</v>
      </c>
      <c r="D28" s="1199">
        <f>'7&amp;8 Sleep'!AD146</f>
        <v>0</v>
      </c>
      <c r="E28" s="1199">
        <f>'7&amp;8 Sleep'!AD198</f>
        <v>0</v>
      </c>
      <c r="F28" s="1199">
        <f>'7&amp;8 Sleep'!AD251</f>
        <v>0</v>
      </c>
      <c r="G28" s="1200">
        <f>'7&amp;8 Sleep'!AD304</f>
        <v>0</v>
      </c>
      <c r="H28" s="1198">
        <v>0</v>
      </c>
      <c r="I28" s="1199">
        <f>'7&amp;8 Day'!AD94</f>
        <v>0</v>
      </c>
      <c r="J28" s="1199">
        <f>'7&amp;8 Day'!AD146</f>
        <v>0</v>
      </c>
      <c r="K28" s="1199">
        <f>'7&amp;8 Day'!AD198</f>
        <v>0</v>
      </c>
      <c r="L28" s="1199">
        <f>'7&amp;8 Day'!AD251</f>
        <v>0</v>
      </c>
      <c r="M28" s="1200">
        <f>'7&amp;8 Day'!AD304</f>
        <v>0</v>
      </c>
      <c r="N28" s="1198">
        <v>0</v>
      </c>
      <c r="O28" s="1199">
        <f>'7&amp;8 SU'!AD94</f>
        <v>0</v>
      </c>
      <c r="P28" s="1199">
        <f>'7&amp;8 SU'!AD146</f>
        <v>0</v>
      </c>
      <c r="Q28" s="1199">
        <f>'7&amp;8 SU'!AD198</f>
        <v>0</v>
      </c>
      <c r="R28" s="1199">
        <f>'7&amp;8 SU'!AD251</f>
        <v>0</v>
      </c>
      <c r="S28" s="1200">
        <f>'7&amp;8 SU'!AD304</f>
        <v>0</v>
      </c>
    </row>
    <row r="29" spans="1:19" x14ac:dyDescent="0.25">
      <c r="A29" s="1191">
        <v>2026</v>
      </c>
      <c r="B29" s="1201">
        <v>0</v>
      </c>
      <c r="C29" s="1202">
        <f>'7&amp;8 Sleep'!AD95</f>
        <v>0</v>
      </c>
      <c r="D29" s="1202">
        <f>'7&amp;8 Sleep'!AD147</f>
        <v>0</v>
      </c>
      <c r="E29" s="1202">
        <f>'7&amp;8 Sleep'!AD199</f>
        <v>0</v>
      </c>
      <c r="F29" s="1202">
        <f>'7&amp;8 Sleep'!AD252</f>
        <v>0</v>
      </c>
      <c r="G29" s="1203">
        <f>'7&amp;8 Sleep'!AD305</f>
        <v>0</v>
      </c>
      <c r="H29" s="1201">
        <v>0</v>
      </c>
      <c r="I29" s="1202">
        <f>'7&amp;8 Day'!AD95</f>
        <v>0</v>
      </c>
      <c r="J29" s="1202">
        <f>'7&amp;8 Day'!AD147</f>
        <v>0</v>
      </c>
      <c r="K29" s="1202">
        <f>'7&amp;8 Day'!AD199</f>
        <v>0</v>
      </c>
      <c r="L29" s="1202">
        <f>'7&amp;8 Day'!AD252</f>
        <v>0</v>
      </c>
      <c r="M29" s="1203">
        <f>'7&amp;8 Day'!AD305</f>
        <v>0</v>
      </c>
      <c r="N29" s="1201">
        <v>0</v>
      </c>
      <c r="O29" s="1202">
        <f>'7&amp;8 SU'!AD95</f>
        <v>0</v>
      </c>
      <c r="P29" s="1202">
        <f>'7&amp;8 SU'!AD147</f>
        <v>0</v>
      </c>
      <c r="Q29" s="1202">
        <f>'7&amp;8 SU'!AD199</f>
        <v>0</v>
      </c>
      <c r="R29" s="1202">
        <f>'7&amp;8 SU'!AD252</f>
        <v>0</v>
      </c>
      <c r="S29" s="1203">
        <f>'7&amp;8 SU'!AD305</f>
        <v>0</v>
      </c>
    </row>
    <row r="30" spans="1:19" x14ac:dyDescent="0.25">
      <c r="A30" s="1191">
        <v>2027</v>
      </c>
      <c r="B30" s="1194">
        <v>0</v>
      </c>
      <c r="C30" s="1195">
        <f>'7&amp;8 Sleep'!AD96</f>
        <v>0</v>
      </c>
      <c r="D30" s="1195">
        <f>'7&amp;8 Sleep'!AD148</f>
        <v>0</v>
      </c>
      <c r="E30" s="1195">
        <f>'7&amp;8 Sleep'!AD200</f>
        <v>0</v>
      </c>
      <c r="F30" s="1195">
        <f>'7&amp;8 Sleep'!AD253</f>
        <v>0</v>
      </c>
      <c r="G30" s="1196">
        <f>'7&amp;8 Sleep'!AD306</f>
        <v>0</v>
      </c>
      <c r="H30" s="1194">
        <v>0</v>
      </c>
      <c r="I30" s="1195">
        <f>'7&amp;8 Day'!AD96</f>
        <v>0</v>
      </c>
      <c r="J30" s="1195">
        <f>'7&amp;8 Day'!AD148</f>
        <v>0</v>
      </c>
      <c r="K30" s="1195">
        <f>'7&amp;8 Day'!AD200</f>
        <v>0</v>
      </c>
      <c r="L30" s="1195">
        <f>'7&amp;8 Day'!AD253</f>
        <v>0</v>
      </c>
      <c r="M30" s="1196">
        <f>'7&amp;8 Day'!AD306</f>
        <v>0</v>
      </c>
      <c r="N30" s="1194">
        <v>0</v>
      </c>
      <c r="O30" s="1195">
        <f>'7&amp;8 SU'!AD96</f>
        <v>0</v>
      </c>
      <c r="P30" s="1195">
        <f>'7&amp;8 SU'!AD148</f>
        <v>0</v>
      </c>
      <c r="Q30" s="1195">
        <f>'7&amp;8 SU'!AD200</f>
        <v>0</v>
      </c>
      <c r="R30" s="1195">
        <f>'7&amp;8 SU'!AD253</f>
        <v>0</v>
      </c>
      <c r="S30" s="1196">
        <f>'7&amp;8 SU'!AD306</f>
        <v>0</v>
      </c>
    </row>
    <row r="31" spans="1:19" x14ac:dyDescent="0.25">
      <c r="A31" s="1191">
        <v>2028</v>
      </c>
      <c r="B31" s="1194">
        <v>0</v>
      </c>
      <c r="C31" s="1195">
        <f>'7&amp;8 Sleep'!AD97</f>
        <v>0</v>
      </c>
      <c r="D31" s="1195">
        <f>'7&amp;8 Sleep'!AD149</f>
        <v>0</v>
      </c>
      <c r="E31" s="1195">
        <f>'7&amp;8 Sleep'!AD201</f>
        <v>0</v>
      </c>
      <c r="F31" s="1195">
        <f>'7&amp;8 Sleep'!AD254</f>
        <v>0</v>
      </c>
      <c r="G31" s="1196">
        <f>'7&amp;8 Sleep'!AD307</f>
        <v>0</v>
      </c>
      <c r="H31" s="1194">
        <v>0</v>
      </c>
      <c r="I31" s="1195">
        <f>'7&amp;8 Day'!AD97</f>
        <v>0</v>
      </c>
      <c r="J31" s="1195">
        <f>'7&amp;8 Day'!AD149</f>
        <v>0</v>
      </c>
      <c r="K31" s="1195">
        <f>'7&amp;8 Day'!AD201</f>
        <v>0</v>
      </c>
      <c r="L31" s="1195">
        <f>'7&amp;8 Day'!AD254</f>
        <v>0</v>
      </c>
      <c r="M31" s="1196">
        <f>'7&amp;8 Day'!AD307</f>
        <v>0</v>
      </c>
      <c r="N31" s="1194">
        <v>0</v>
      </c>
      <c r="O31" s="1195">
        <f>'7&amp;8 SU'!AD97</f>
        <v>0</v>
      </c>
      <c r="P31" s="1195">
        <f>'7&amp;8 SU'!AD149</f>
        <v>0</v>
      </c>
      <c r="Q31" s="1195">
        <f>'7&amp;8 SU'!AD201</f>
        <v>0</v>
      </c>
      <c r="R31" s="1195">
        <f>'7&amp;8 SU'!AD254</f>
        <v>0</v>
      </c>
      <c r="S31" s="1196">
        <f>'7&amp;8 SU'!AD307</f>
        <v>0</v>
      </c>
    </row>
    <row r="32" spans="1:19" x14ac:dyDescent="0.25">
      <c r="A32" s="1191">
        <v>2029</v>
      </c>
      <c r="B32" s="1194">
        <v>0</v>
      </c>
      <c r="C32" s="1195">
        <f>'7&amp;8 Sleep'!AD98</f>
        <v>0</v>
      </c>
      <c r="D32" s="1195">
        <f>'7&amp;8 Sleep'!AD150</f>
        <v>0</v>
      </c>
      <c r="E32" s="1195">
        <f>'7&amp;8 Sleep'!AD202</f>
        <v>0</v>
      </c>
      <c r="F32" s="1195">
        <f>'7&amp;8 Sleep'!AD255</f>
        <v>0</v>
      </c>
      <c r="G32" s="1196">
        <f>'7&amp;8 Sleep'!AD308</f>
        <v>0</v>
      </c>
      <c r="H32" s="1194">
        <v>0</v>
      </c>
      <c r="I32" s="1195">
        <f>'7&amp;8 Day'!AD98</f>
        <v>0</v>
      </c>
      <c r="J32" s="1195">
        <f>'7&amp;8 Day'!AD150</f>
        <v>0</v>
      </c>
      <c r="K32" s="1195">
        <f>'7&amp;8 Day'!AD202</f>
        <v>0</v>
      </c>
      <c r="L32" s="1195">
        <f>'7&amp;8 Day'!AD255</f>
        <v>0</v>
      </c>
      <c r="M32" s="1196">
        <f>'7&amp;8 Day'!AD308</f>
        <v>0</v>
      </c>
      <c r="N32" s="1194">
        <v>0</v>
      </c>
      <c r="O32" s="1195">
        <f>'7&amp;8 SU'!AD98</f>
        <v>0</v>
      </c>
      <c r="P32" s="1195">
        <f>'7&amp;8 SU'!AD150</f>
        <v>0</v>
      </c>
      <c r="Q32" s="1195">
        <f>'7&amp;8 SU'!AD202</f>
        <v>0</v>
      </c>
      <c r="R32" s="1195">
        <f>'7&amp;8 SU'!AD255</f>
        <v>0</v>
      </c>
      <c r="S32" s="1196">
        <f>'7&amp;8 SU'!AD308</f>
        <v>0</v>
      </c>
    </row>
    <row r="33" spans="1:19" x14ac:dyDescent="0.25">
      <c r="A33" s="1197">
        <v>2030</v>
      </c>
      <c r="B33" s="1198">
        <v>0</v>
      </c>
      <c r="C33" s="1199">
        <f>'7&amp;8 Sleep'!AD99</f>
        <v>0</v>
      </c>
      <c r="D33" s="1199">
        <f>'7&amp;8 Sleep'!AD151</f>
        <v>0</v>
      </c>
      <c r="E33" s="1199">
        <f>'7&amp;8 Sleep'!AD203</f>
        <v>0</v>
      </c>
      <c r="F33" s="1199">
        <f>'7&amp;8 Sleep'!AD256</f>
        <v>0</v>
      </c>
      <c r="G33" s="1200">
        <f>'7&amp;8 Sleep'!AD309</f>
        <v>0</v>
      </c>
      <c r="H33" s="1198">
        <v>0</v>
      </c>
      <c r="I33" s="1199">
        <f>'7&amp;8 Day'!AD99</f>
        <v>0</v>
      </c>
      <c r="J33" s="1199">
        <f>'7&amp;8 Day'!AD151</f>
        <v>0</v>
      </c>
      <c r="K33" s="1199">
        <f>'7&amp;8 Day'!AD203</f>
        <v>0</v>
      </c>
      <c r="L33" s="1199">
        <f>'7&amp;8 Day'!AD256</f>
        <v>0</v>
      </c>
      <c r="M33" s="1200">
        <f>'7&amp;8 Day'!AD309</f>
        <v>0</v>
      </c>
      <c r="N33" s="1198">
        <v>0</v>
      </c>
      <c r="O33" s="1199">
        <f>'7&amp;8 SU'!AD99</f>
        <v>0</v>
      </c>
      <c r="P33" s="1199">
        <f>'7&amp;8 SU'!AD151</f>
        <v>0</v>
      </c>
      <c r="Q33" s="1199">
        <f>'7&amp;8 SU'!AD203</f>
        <v>0</v>
      </c>
      <c r="R33" s="1199">
        <f>'7&amp;8 SU'!AD256</f>
        <v>0</v>
      </c>
      <c r="S33" s="1200">
        <f>'7&amp;8 SU'!AD309</f>
        <v>0</v>
      </c>
    </row>
    <row r="34" spans="1:19" x14ac:dyDescent="0.25">
      <c r="A34" s="1191">
        <v>2031</v>
      </c>
      <c r="B34" s="1201">
        <v>0</v>
      </c>
      <c r="C34" s="1202">
        <f>'7&amp;8 Sleep'!AD100</f>
        <v>0</v>
      </c>
      <c r="D34" s="1202">
        <f>'7&amp;8 Sleep'!AD152</f>
        <v>0</v>
      </c>
      <c r="E34" s="1202">
        <f>'7&amp;8 Sleep'!AD204</f>
        <v>0</v>
      </c>
      <c r="F34" s="1202">
        <f>'7&amp;8 Sleep'!AD257</f>
        <v>0</v>
      </c>
      <c r="G34" s="1203">
        <f>'7&amp;8 Sleep'!AD310</f>
        <v>0</v>
      </c>
      <c r="H34" s="1201">
        <v>0</v>
      </c>
      <c r="I34" s="1202">
        <f>'7&amp;8 Day'!AD100</f>
        <v>0</v>
      </c>
      <c r="J34" s="1202">
        <f>'7&amp;8 Day'!AD152</f>
        <v>0</v>
      </c>
      <c r="K34" s="1202">
        <f>'7&amp;8 Day'!AD204</f>
        <v>0</v>
      </c>
      <c r="L34" s="1202">
        <f>'7&amp;8 Day'!AD257</f>
        <v>0</v>
      </c>
      <c r="M34" s="1203">
        <f>'7&amp;8 Day'!AD310</f>
        <v>0</v>
      </c>
      <c r="N34" s="1201">
        <v>0</v>
      </c>
      <c r="O34" s="1202">
        <f>'7&amp;8 SU'!AD100</f>
        <v>0</v>
      </c>
      <c r="P34" s="1202">
        <f>'7&amp;8 SU'!AD152</f>
        <v>0</v>
      </c>
      <c r="Q34" s="1202">
        <f>'7&amp;8 SU'!AD204</f>
        <v>0</v>
      </c>
      <c r="R34" s="1202">
        <f>'7&amp;8 SU'!AD257</f>
        <v>0</v>
      </c>
      <c r="S34" s="1203">
        <f>'7&amp;8 SU'!AD310</f>
        <v>0</v>
      </c>
    </row>
    <row r="35" spans="1:19" x14ac:dyDescent="0.25">
      <c r="A35" s="1191">
        <v>2032</v>
      </c>
      <c r="B35" s="1194">
        <v>0</v>
      </c>
      <c r="C35" s="1195">
        <f>'7&amp;8 Sleep'!AD101</f>
        <v>0</v>
      </c>
      <c r="D35" s="1195">
        <f>'7&amp;8 Sleep'!AD153</f>
        <v>0</v>
      </c>
      <c r="E35" s="1195">
        <f>'7&amp;8 Sleep'!AD205</f>
        <v>0</v>
      </c>
      <c r="F35" s="1195">
        <f>'7&amp;8 Sleep'!AD258</f>
        <v>0</v>
      </c>
      <c r="G35" s="1196">
        <f>'7&amp;8 Sleep'!AD311</f>
        <v>0</v>
      </c>
      <c r="H35" s="1194">
        <v>0</v>
      </c>
      <c r="I35" s="1195">
        <f>'7&amp;8 Day'!AD101</f>
        <v>0</v>
      </c>
      <c r="J35" s="1195">
        <f>'7&amp;8 Day'!AD153</f>
        <v>0</v>
      </c>
      <c r="K35" s="1195">
        <f>'7&amp;8 Day'!AD205</f>
        <v>0</v>
      </c>
      <c r="L35" s="1195">
        <f>'7&amp;8 Day'!AD258</f>
        <v>0</v>
      </c>
      <c r="M35" s="1196">
        <f>'7&amp;8 Day'!AD311</f>
        <v>0</v>
      </c>
      <c r="N35" s="1194">
        <v>0</v>
      </c>
      <c r="O35" s="1195">
        <f>'7&amp;8 SU'!AD101</f>
        <v>0</v>
      </c>
      <c r="P35" s="1195">
        <f>'7&amp;8 SU'!AD153</f>
        <v>0</v>
      </c>
      <c r="Q35" s="1195">
        <f>'7&amp;8 SU'!AD205</f>
        <v>0</v>
      </c>
      <c r="R35" s="1195">
        <f>'7&amp;8 SU'!AD258</f>
        <v>0</v>
      </c>
      <c r="S35" s="1196">
        <f>'7&amp;8 SU'!AD311</f>
        <v>0</v>
      </c>
    </row>
    <row r="36" spans="1:19" x14ac:dyDescent="0.25">
      <c r="A36" s="1191">
        <v>2033</v>
      </c>
      <c r="B36" s="1194">
        <v>0</v>
      </c>
      <c r="C36" s="1195">
        <f>'7&amp;8 Sleep'!AD102</f>
        <v>0</v>
      </c>
      <c r="D36" s="1195">
        <f>'7&amp;8 Sleep'!AD154</f>
        <v>0</v>
      </c>
      <c r="E36" s="1195">
        <f>'7&amp;8 Sleep'!AD206</f>
        <v>0</v>
      </c>
      <c r="F36" s="1195">
        <f>'7&amp;8 Sleep'!AD259</f>
        <v>0</v>
      </c>
      <c r="G36" s="1196">
        <f>'7&amp;8 Sleep'!AD312</f>
        <v>0</v>
      </c>
      <c r="H36" s="1194">
        <v>0</v>
      </c>
      <c r="I36" s="1195">
        <f>'7&amp;8 Day'!AD102</f>
        <v>0</v>
      </c>
      <c r="J36" s="1195">
        <f>'7&amp;8 Day'!AD154</f>
        <v>0</v>
      </c>
      <c r="K36" s="1195">
        <f>'7&amp;8 Day'!AD206</f>
        <v>0</v>
      </c>
      <c r="L36" s="1195">
        <f>'7&amp;8 Day'!AD259</f>
        <v>0</v>
      </c>
      <c r="M36" s="1196">
        <f>'7&amp;8 Day'!AD312</f>
        <v>0</v>
      </c>
      <c r="N36" s="1194">
        <v>0</v>
      </c>
      <c r="O36" s="1195">
        <f>'7&amp;8 SU'!AD102</f>
        <v>0</v>
      </c>
      <c r="P36" s="1195">
        <f>'7&amp;8 SU'!AD154</f>
        <v>0</v>
      </c>
      <c r="Q36" s="1195">
        <f>'7&amp;8 SU'!AD206</f>
        <v>0</v>
      </c>
      <c r="R36" s="1195">
        <f>'7&amp;8 SU'!AD259</f>
        <v>0</v>
      </c>
      <c r="S36" s="1196">
        <f>'7&amp;8 SU'!AD312</f>
        <v>0</v>
      </c>
    </row>
    <row r="37" spans="1:19" x14ac:dyDescent="0.25">
      <c r="A37" s="1191">
        <v>2034</v>
      </c>
      <c r="B37" s="1194">
        <v>0</v>
      </c>
      <c r="C37" s="1195">
        <f>'7&amp;8 Sleep'!AD103</f>
        <v>0</v>
      </c>
      <c r="D37" s="1195">
        <f>'7&amp;8 Sleep'!AD155</f>
        <v>0</v>
      </c>
      <c r="E37" s="1195">
        <f>'7&amp;8 Sleep'!AD207</f>
        <v>0</v>
      </c>
      <c r="F37" s="1195">
        <f>'7&amp;8 Sleep'!AD260</f>
        <v>0</v>
      </c>
      <c r="G37" s="1196">
        <f>'7&amp;8 Sleep'!AD313</f>
        <v>0</v>
      </c>
      <c r="H37" s="1194">
        <v>0</v>
      </c>
      <c r="I37" s="1195">
        <f>'7&amp;8 Day'!AD103</f>
        <v>0</v>
      </c>
      <c r="J37" s="1195">
        <f>'7&amp;8 Day'!AD155</f>
        <v>0</v>
      </c>
      <c r="K37" s="1195">
        <f>'7&amp;8 Day'!AD207</f>
        <v>0</v>
      </c>
      <c r="L37" s="1195">
        <f>'7&amp;8 Day'!AD260</f>
        <v>0</v>
      </c>
      <c r="M37" s="1196">
        <f>'7&amp;8 Day'!AD313</f>
        <v>0</v>
      </c>
      <c r="N37" s="1194">
        <v>0</v>
      </c>
      <c r="O37" s="1195">
        <f>'7&amp;8 SU'!AD103</f>
        <v>0</v>
      </c>
      <c r="P37" s="1195">
        <f>'7&amp;8 SU'!AD155</f>
        <v>0</v>
      </c>
      <c r="Q37" s="1195">
        <f>'7&amp;8 SU'!AD207</f>
        <v>0</v>
      </c>
      <c r="R37" s="1195">
        <f>'7&amp;8 SU'!AD260</f>
        <v>0</v>
      </c>
      <c r="S37" s="1196">
        <f>'7&amp;8 SU'!AD313</f>
        <v>0</v>
      </c>
    </row>
    <row r="38" spans="1:19" x14ac:dyDescent="0.25">
      <c r="A38" s="1197">
        <v>2035</v>
      </c>
      <c r="B38" s="1198">
        <v>0</v>
      </c>
      <c r="C38" s="1199">
        <f>'7&amp;8 Sleep'!AD104</f>
        <v>0</v>
      </c>
      <c r="D38" s="1199">
        <f>'7&amp;8 Sleep'!AD156</f>
        <v>0</v>
      </c>
      <c r="E38" s="1199">
        <f>'7&amp;8 Sleep'!AD208</f>
        <v>0</v>
      </c>
      <c r="F38" s="1199">
        <f>'7&amp;8 Sleep'!AD261</f>
        <v>0</v>
      </c>
      <c r="G38" s="1200">
        <f>'7&amp;8 Sleep'!AD314</f>
        <v>0</v>
      </c>
      <c r="H38" s="1198">
        <v>0</v>
      </c>
      <c r="I38" s="1199">
        <f>'7&amp;8 Day'!AD104</f>
        <v>0</v>
      </c>
      <c r="J38" s="1199">
        <f>'7&amp;8 Day'!AD156</f>
        <v>0</v>
      </c>
      <c r="K38" s="1199">
        <f>'7&amp;8 Day'!AD208</f>
        <v>0</v>
      </c>
      <c r="L38" s="1199">
        <f>'7&amp;8 Day'!AD261</f>
        <v>0</v>
      </c>
      <c r="M38" s="1200">
        <f>'7&amp;8 Day'!AD314</f>
        <v>0</v>
      </c>
      <c r="N38" s="1198">
        <v>0</v>
      </c>
      <c r="O38" s="1199">
        <f>'7&amp;8 SU'!AD104</f>
        <v>0</v>
      </c>
      <c r="P38" s="1199">
        <f>'7&amp;8 SU'!AD156</f>
        <v>0</v>
      </c>
      <c r="Q38" s="1199">
        <f>'7&amp;8 SU'!AD208</f>
        <v>0</v>
      </c>
      <c r="R38" s="1199">
        <f>'7&amp;8 SU'!AD261</f>
        <v>0</v>
      </c>
      <c r="S38" s="1200">
        <f>'7&amp;8 SU'!AD314</f>
        <v>0</v>
      </c>
    </row>
    <row r="39" spans="1:19" x14ac:dyDescent="0.25">
      <c r="A39" s="1191">
        <v>2036</v>
      </c>
      <c r="B39" s="1201">
        <v>0</v>
      </c>
      <c r="C39" s="1202">
        <f>'7&amp;8 Sleep'!AD105</f>
        <v>0</v>
      </c>
      <c r="D39" s="1202">
        <f>'7&amp;8 Sleep'!AD157</f>
        <v>0</v>
      </c>
      <c r="E39" s="1202">
        <f>'7&amp;8 Sleep'!AD209</f>
        <v>0</v>
      </c>
      <c r="F39" s="1202">
        <f>'7&amp;8 Sleep'!AD262</f>
        <v>0</v>
      </c>
      <c r="G39" s="1203">
        <f>'7&amp;8 Sleep'!AD315</f>
        <v>0</v>
      </c>
      <c r="H39" s="1201">
        <v>0</v>
      </c>
      <c r="I39" s="1202">
        <f>'7&amp;8 Day'!AD105</f>
        <v>0</v>
      </c>
      <c r="J39" s="1202">
        <f>'7&amp;8 Day'!AD157</f>
        <v>0</v>
      </c>
      <c r="K39" s="1202">
        <f>'7&amp;8 Day'!AD209</f>
        <v>0</v>
      </c>
      <c r="L39" s="1202">
        <f>'7&amp;8 Day'!AD262</f>
        <v>0</v>
      </c>
      <c r="M39" s="1203">
        <f>'7&amp;8 Day'!AD315</f>
        <v>0</v>
      </c>
      <c r="N39" s="1201">
        <v>0</v>
      </c>
      <c r="O39" s="1202">
        <f>'7&amp;8 SU'!AD105</f>
        <v>0</v>
      </c>
      <c r="P39" s="1202">
        <f>'7&amp;8 SU'!AD157</f>
        <v>0</v>
      </c>
      <c r="Q39" s="1202">
        <f>'7&amp;8 SU'!AD209</f>
        <v>0</v>
      </c>
      <c r="R39" s="1202">
        <f>'7&amp;8 SU'!AD262</f>
        <v>0</v>
      </c>
      <c r="S39" s="1203">
        <f>'7&amp;8 SU'!AD315</f>
        <v>0</v>
      </c>
    </row>
    <row r="40" spans="1:19" x14ac:dyDescent="0.25">
      <c r="A40" s="1191">
        <v>2037</v>
      </c>
      <c r="B40" s="1194">
        <v>0</v>
      </c>
      <c r="C40" s="1195">
        <f>'7&amp;8 Sleep'!AD106</f>
        <v>0</v>
      </c>
      <c r="D40" s="1195">
        <f>'7&amp;8 Sleep'!AD158</f>
        <v>0</v>
      </c>
      <c r="E40" s="1195">
        <f>'7&amp;8 Sleep'!AD210</f>
        <v>0</v>
      </c>
      <c r="F40" s="1195">
        <f>'7&amp;8 Sleep'!AD263</f>
        <v>0</v>
      </c>
      <c r="G40" s="1196">
        <f>'7&amp;8 Sleep'!AD316</f>
        <v>0</v>
      </c>
      <c r="H40" s="1194">
        <v>0</v>
      </c>
      <c r="I40" s="1195">
        <f>'7&amp;8 Day'!AD106</f>
        <v>0</v>
      </c>
      <c r="J40" s="1195">
        <f>'7&amp;8 Day'!AD158</f>
        <v>0</v>
      </c>
      <c r="K40" s="1195">
        <f>'7&amp;8 Day'!AD210</f>
        <v>0</v>
      </c>
      <c r="L40" s="1195">
        <f>'7&amp;8 Day'!AD263</f>
        <v>0</v>
      </c>
      <c r="M40" s="1196">
        <f>'7&amp;8 Day'!AD316</f>
        <v>0</v>
      </c>
      <c r="N40" s="1194">
        <v>0</v>
      </c>
      <c r="O40" s="1195">
        <f>'7&amp;8 SU'!AD106</f>
        <v>0</v>
      </c>
      <c r="P40" s="1195">
        <f>'7&amp;8 SU'!AD158</f>
        <v>0</v>
      </c>
      <c r="Q40" s="1195">
        <f>'7&amp;8 SU'!AD210</f>
        <v>0</v>
      </c>
      <c r="R40" s="1195">
        <f>'7&amp;8 SU'!AD263</f>
        <v>0</v>
      </c>
      <c r="S40" s="1196">
        <f>'7&amp;8 SU'!AD316</f>
        <v>0</v>
      </c>
    </row>
    <row r="41" spans="1:19" x14ac:dyDescent="0.25">
      <c r="A41" s="1191">
        <v>2038</v>
      </c>
      <c r="B41" s="1194">
        <v>0</v>
      </c>
      <c r="C41" s="1195">
        <f>'7&amp;8 Sleep'!AD107</f>
        <v>0</v>
      </c>
      <c r="D41" s="1195">
        <f>'7&amp;8 Sleep'!AD159</f>
        <v>0</v>
      </c>
      <c r="E41" s="1195">
        <f>'7&amp;8 Sleep'!AD211</f>
        <v>0</v>
      </c>
      <c r="F41" s="1195">
        <f>'7&amp;8 Sleep'!AD264</f>
        <v>0</v>
      </c>
      <c r="G41" s="1196">
        <f>'7&amp;8 Sleep'!AD317</f>
        <v>0</v>
      </c>
      <c r="H41" s="1194">
        <v>0</v>
      </c>
      <c r="I41" s="1195">
        <f>'7&amp;8 Day'!AD107</f>
        <v>0</v>
      </c>
      <c r="J41" s="1195">
        <f>'7&amp;8 Day'!AD159</f>
        <v>0</v>
      </c>
      <c r="K41" s="1195">
        <f>'7&amp;8 Day'!AD211</f>
        <v>0</v>
      </c>
      <c r="L41" s="1195">
        <f>'7&amp;8 Day'!AD264</f>
        <v>0</v>
      </c>
      <c r="M41" s="1196">
        <f>'7&amp;8 Day'!AD317</f>
        <v>0</v>
      </c>
      <c r="N41" s="1194">
        <v>0</v>
      </c>
      <c r="O41" s="1195">
        <f>'7&amp;8 SU'!AD107</f>
        <v>0</v>
      </c>
      <c r="P41" s="1195">
        <f>'7&amp;8 SU'!AD159</f>
        <v>0</v>
      </c>
      <c r="Q41" s="1195">
        <f>'7&amp;8 SU'!AD211</f>
        <v>0</v>
      </c>
      <c r="R41" s="1195">
        <f>'7&amp;8 SU'!AD264</f>
        <v>0</v>
      </c>
      <c r="S41" s="1196">
        <f>'7&amp;8 SU'!AD317</f>
        <v>0</v>
      </c>
    </row>
    <row r="42" spans="1:19" x14ac:dyDescent="0.25">
      <c r="A42" s="1191">
        <v>2039</v>
      </c>
      <c r="B42" s="1194">
        <v>0</v>
      </c>
      <c r="C42" s="1195">
        <f>'7&amp;8 Sleep'!AD108</f>
        <v>0</v>
      </c>
      <c r="D42" s="1195">
        <f>'7&amp;8 Sleep'!AD160</f>
        <v>0</v>
      </c>
      <c r="E42" s="1195">
        <f>'7&amp;8 Sleep'!AD212</f>
        <v>0</v>
      </c>
      <c r="F42" s="1195">
        <f>'7&amp;8 Sleep'!AD265</f>
        <v>0</v>
      </c>
      <c r="G42" s="1196">
        <f>'7&amp;8 Sleep'!AD318</f>
        <v>0</v>
      </c>
      <c r="H42" s="1194">
        <v>0</v>
      </c>
      <c r="I42" s="1195">
        <f>'7&amp;8 Day'!AD108</f>
        <v>0</v>
      </c>
      <c r="J42" s="1195">
        <f>'7&amp;8 Day'!AD160</f>
        <v>0</v>
      </c>
      <c r="K42" s="1195">
        <f>'7&amp;8 Day'!AD212</f>
        <v>0</v>
      </c>
      <c r="L42" s="1195">
        <f>'7&amp;8 Day'!AD265</f>
        <v>0</v>
      </c>
      <c r="M42" s="1196">
        <f>'7&amp;8 Day'!AD318</f>
        <v>0</v>
      </c>
      <c r="N42" s="1194">
        <v>0</v>
      </c>
      <c r="O42" s="1195">
        <f>'7&amp;8 SU'!AD108</f>
        <v>0</v>
      </c>
      <c r="P42" s="1195">
        <f>'7&amp;8 SU'!AD160</f>
        <v>0</v>
      </c>
      <c r="Q42" s="1195">
        <f>'7&amp;8 SU'!AD212</f>
        <v>0</v>
      </c>
      <c r="R42" s="1195">
        <f>'7&amp;8 SU'!AD265</f>
        <v>0</v>
      </c>
      <c r="S42" s="1196">
        <f>'7&amp;8 SU'!AD318</f>
        <v>0</v>
      </c>
    </row>
    <row r="43" spans="1:19" x14ac:dyDescent="0.25">
      <c r="A43" s="1197">
        <v>2040</v>
      </c>
      <c r="B43" s="1198">
        <v>0</v>
      </c>
      <c r="C43" s="1199">
        <f>'7&amp;8 Sleep'!AD109</f>
        <v>0</v>
      </c>
      <c r="D43" s="1199">
        <f>'7&amp;8 Sleep'!AD161</f>
        <v>0</v>
      </c>
      <c r="E43" s="1199">
        <f>'7&amp;8 Sleep'!AD213</f>
        <v>0</v>
      </c>
      <c r="F43" s="1199">
        <f>'7&amp;8 Sleep'!AD266</f>
        <v>0</v>
      </c>
      <c r="G43" s="1200">
        <f>'7&amp;8 Sleep'!AD319</f>
        <v>0</v>
      </c>
      <c r="H43" s="1220">
        <v>0</v>
      </c>
      <c r="I43" s="1221">
        <f>'7&amp;8 Day'!AD109</f>
        <v>0</v>
      </c>
      <c r="J43" s="1221">
        <f>'7&amp;8 Day'!AD161</f>
        <v>0</v>
      </c>
      <c r="K43" s="1221">
        <f>'7&amp;8 Day'!AD213</f>
        <v>0</v>
      </c>
      <c r="L43" s="1221">
        <f>'7&amp;8 Day'!AD266</f>
        <v>0</v>
      </c>
      <c r="M43" s="1222">
        <f>'7&amp;8 Day'!AD319</f>
        <v>0</v>
      </c>
      <c r="N43" s="1194">
        <v>0</v>
      </c>
      <c r="O43" s="1221">
        <f>'7&amp;8 SU'!AD109</f>
        <v>0</v>
      </c>
      <c r="P43" s="1221">
        <f>'7&amp;8 SU'!AD161</f>
        <v>0</v>
      </c>
      <c r="Q43" s="1221">
        <f>'7&amp;8 SU'!AD213</f>
        <v>0</v>
      </c>
      <c r="R43" s="1221">
        <f>'7&amp;8 SU'!AD266</f>
        <v>0</v>
      </c>
      <c r="S43" s="1222">
        <f>'7&amp;8 SU'!AD319</f>
        <v>0</v>
      </c>
    </row>
    <row r="44" spans="1:19" x14ac:dyDescent="0.25">
      <c r="A44" s="1191">
        <v>2041</v>
      </c>
      <c r="B44" s="1201">
        <v>0</v>
      </c>
      <c r="C44" s="1202">
        <f>'7&amp;8 Sleep'!AD110</f>
        <v>0</v>
      </c>
      <c r="D44" s="1202">
        <f>'7&amp;8 Sleep'!AD162</f>
        <v>0</v>
      </c>
      <c r="E44" s="1202">
        <f>'7&amp;8 Sleep'!AD214</f>
        <v>0</v>
      </c>
      <c r="F44" s="1202">
        <f>'7&amp;8 Sleep'!AD267</f>
        <v>0</v>
      </c>
      <c r="G44" s="1203">
        <f>'7&amp;8 Sleep'!AD320</f>
        <v>0</v>
      </c>
      <c r="H44" s="1201">
        <v>0</v>
      </c>
      <c r="I44" s="1202">
        <f>'7&amp;8 Day'!AD110</f>
        <v>0</v>
      </c>
      <c r="J44" s="1202">
        <f>'7&amp;8 Day'!AD162</f>
        <v>0</v>
      </c>
      <c r="K44" s="1202">
        <f>'7&amp;8 Day'!AD214</f>
        <v>0</v>
      </c>
      <c r="L44" s="1202">
        <f>'7&amp;8 Day'!AD267</f>
        <v>0</v>
      </c>
      <c r="M44" s="1203">
        <f>'7&amp;8 Day'!AD320</f>
        <v>0</v>
      </c>
      <c r="N44" s="1201">
        <v>0</v>
      </c>
      <c r="O44" s="1202">
        <f>'7&amp;8 SU'!AD110</f>
        <v>0</v>
      </c>
      <c r="P44" s="1202">
        <f>'7&amp;8 SU'!AD162</f>
        <v>0</v>
      </c>
      <c r="Q44" s="1202">
        <f>'7&amp;8 SU'!AD214</f>
        <v>0</v>
      </c>
      <c r="R44" s="1202">
        <f>'7&amp;8 SU'!AD267</f>
        <v>0</v>
      </c>
      <c r="S44" s="1203">
        <f>'7&amp;8 SU'!AD320</f>
        <v>0</v>
      </c>
    </row>
    <row r="45" spans="1:19" x14ac:dyDescent="0.25">
      <c r="A45" s="1191">
        <v>2042</v>
      </c>
      <c r="B45" s="1194">
        <v>0</v>
      </c>
      <c r="C45" s="1195">
        <f>'7&amp;8 Sleep'!AD111</f>
        <v>0</v>
      </c>
      <c r="D45" s="1195">
        <f>'7&amp;8 Sleep'!AD163</f>
        <v>0</v>
      </c>
      <c r="E45" s="1195">
        <f>'7&amp;8 Sleep'!AD215</f>
        <v>0</v>
      </c>
      <c r="F45" s="1195">
        <f>'7&amp;8 Sleep'!AD268</f>
        <v>0</v>
      </c>
      <c r="G45" s="1196">
        <f>'7&amp;8 Sleep'!AD321</f>
        <v>0</v>
      </c>
      <c r="H45" s="1194">
        <v>0</v>
      </c>
      <c r="I45" s="1195">
        <f>'7&amp;8 Day'!AD111</f>
        <v>0</v>
      </c>
      <c r="J45" s="1195">
        <f>'7&amp;8 Day'!AD163</f>
        <v>0</v>
      </c>
      <c r="K45" s="1195">
        <f>'7&amp;8 Day'!AD215</f>
        <v>0</v>
      </c>
      <c r="L45" s="1195">
        <f>'7&amp;8 Day'!AD268</f>
        <v>0</v>
      </c>
      <c r="M45" s="1196">
        <f>'7&amp;8 Day'!AD321</f>
        <v>0</v>
      </c>
      <c r="N45" s="1194">
        <v>0</v>
      </c>
      <c r="O45" s="1195">
        <f>'7&amp;8 SU'!AD111</f>
        <v>0</v>
      </c>
      <c r="P45" s="1195">
        <f>'7&amp;8 SU'!AD163</f>
        <v>0</v>
      </c>
      <c r="Q45" s="1195">
        <f>'7&amp;8 SU'!AD215</f>
        <v>0</v>
      </c>
      <c r="R45" s="1195">
        <f>'7&amp;8 SU'!AD268</f>
        <v>0</v>
      </c>
      <c r="S45" s="1196">
        <f>'7&amp;8 SU'!AD321</f>
        <v>0</v>
      </c>
    </row>
    <row r="46" spans="1:19" x14ac:dyDescent="0.25">
      <c r="A46" s="1191">
        <v>2043</v>
      </c>
      <c r="B46" s="1194">
        <v>0</v>
      </c>
      <c r="C46" s="1195">
        <f>'7&amp;8 Sleep'!AD112</f>
        <v>0</v>
      </c>
      <c r="D46" s="1195">
        <f>'7&amp;8 Sleep'!AD164</f>
        <v>0</v>
      </c>
      <c r="E46" s="1195">
        <f>'7&amp;8 Sleep'!AD216</f>
        <v>0</v>
      </c>
      <c r="F46" s="1195">
        <f>'7&amp;8 Sleep'!AD269</f>
        <v>0</v>
      </c>
      <c r="G46" s="1196">
        <f>'7&amp;8 Sleep'!AD322</f>
        <v>0</v>
      </c>
      <c r="H46" s="1194">
        <v>0</v>
      </c>
      <c r="I46" s="1195">
        <f>'7&amp;8 Day'!AD112</f>
        <v>0</v>
      </c>
      <c r="J46" s="1195">
        <f>'7&amp;8 Day'!AD164</f>
        <v>0</v>
      </c>
      <c r="K46" s="1195">
        <f>'7&amp;8 Day'!AD216</f>
        <v>0</v>
      </c>
      <c r="L46" s="1195">
        <f>'7&amp;8 Day'!AD269</f>
        <v>0</v>
      </c>
      <c r="M46" s="1196">
        <f>'7&amp;8 Day'!AD322</f>
        <v>0</v>
      </c>
      <c r="N46" s="1194">
        <v>0</v>
      </c>
      <c r="O46" s="1195">
        <f>'7&amp;8 SU'!AD112</f>
        <v>0</v>
      </c>
      <c r="P46" s="1195">
        <f>'7&amp;8 SU'!AD164</f>
        <v>0</v>
      </c>
      <c r="Q46" s="1195">
        <f>'7&amp;8 SU'!AD216</f>
        <v>0</v>
      </c>
      <c r="R46" s="1195">
        <f>'7&amp;8 SU'!AD269</f>
        <v>0</v>
      </c>
      <c r="S46" s="1196">
        <f>'7&amp;8 SU'!AD322</f>
        <v>0</v>
      </c>
    </row>
    <row r="47" spans="1:19" x14ac:dyDescent="0.25">
      <c r="A47" s="1191">
        <v>2044</v>
      </c>
      <c r="B47" s="1194">
        <v>0</v>
      </c>
      <c r="C47" s="1195">
        <f>'7&amp;8 Sleep'!AD113</f>
        <v>0</v>
      </c>
      <c r="D47" s="1195">
        <f>'7&amp;8 Sleep'!AD165</f>
        <v>0</v>
      </c>
      <c r="E47" s="1195">
        <f>'7&amp;8 Sleep'!AD217</f>
        <v>0</v>
      </c>
      <c r="F47" s="1195">
        <f>'7&amp;8 Sleep'!AD270</f>
        <v>0</v>
      </c>
      <c r="G47" s="1196">
        <f>'7&amp;8 Sleep'!AD323</f>
        <v>0</v>
      </c>
      <c r="H47" s="1194">
        <v>0</v>
      </c>
      <c r="I47" s="1195">
        <f>'7&amp;8 Day'!AD113</f>
        <v>0</v>
      </c>
      <c r="J47" s="1195">
        <f>'7&amp;8 Day'!AD165</f>
        <v>0</v>
      </c>
      <c r="K47" s="1195">
        <f>'7&amp;8 Day'!AD217</f>
        <v>0</v>
      </c>
      <c r="L47" s="1195">
        <f>'7&amp;8 Day'!AD270</f>
        <v>0</v>
      </c>
      <c r="M47" s="1196">
        <f>'7&amp;8 Day'!AD323</f>
        <v>0</v>
      </c>
      <c r="N47" s="1194">
        <v>0</v>
      </c>
      <c r="O47" s="1195">
        <f>'7&amp;8 SU'!AD113</f>
        <v>0</v>
      </c>
      <c r="P47" s="1195">
        <f>'7&amp;8 SU'!AD165</f>
        <v>0</v>
      </c>
      <c r="Q47" s="1195">
        <f>'7&amp;8 SU'!AD217</f>
        <v>0</v>
      </c>
      <c r="R47" s="1195">
        <f>'7&amp;8 SU'!AD270</f>
        <v>0</v>
      </c>
      <c r="S47" s="1196">
        <f>'7&amp;8 SU'!AD323</f>
        <v>0</v>
      </c>
    </row>
    <row r="48" spans="1:19" x14ac:dyDescent="0.25">
      <c r="A48" s="1197">
        <v>2045</v>
      </c>
      <c r="B48" s="1198">
        <v>0</v>
      </c>
      <c r="C48" s="1199">
        <f>'7&amp;8 Sleep'!AD114</f>
        <v>0</v>
      </c>
      <c r="D48" s="1199">
        <f>'7&amp;8 Sleep'!AD166</f>
        <v>0</v>
      </c>
      <c r="E48" s="1199">
        <f>'7&amp;8 Sleep'!AD218</f>
        <v>0</v>
      </c>
      <c r="F48" s="1199">
        <f>'7&amp;8 Sleep'!AD271</f>
        <v>0</v>
      </c>
      <c r="G48" s="1200">
        <f>'7&amp;8 Sleep'!AD324</f>
        <v>0</v>
      </c>
      <c r="H48" s="1198">
        <v>0</v>
      </c>
      <c r="I48" s="1199">
        <f>'7&amp;8 Day'!AD114</f>
        <v>0</v>
      </c>
      <c r="J48" s="1199">
        <f>'7&amp;8 Day'!AD166</f>
        <v>0</v>
      </c>
      <c r="K48" s="1199">
        <f>'7&amp;8 Day'!AD218</f>
        <v>0</v>
      </c>
      <c r="L48" s="1199">
        <f>'7&amp;8 Day'!AD271</f>
        <v>0</v>
      </c>
      <c r="M48" s="1200">
        <f>'7&amp;8 Day'!AD324</f>
        <v>0</v>
      </c>
      <c r="N48" s="1198">
        <v>0</v>
      </c>
      <c r="O48" s="1199">
        <f>'7&amp;8 SU'!AD114</f>
        <v>0</v>
      </c>
      <c r="P48" s="1199">
        <f>'7&amp;8 SU'!AD166</f>
        <v>0</v>
      </c>
      <c r="Q48" s="1199">
        <f>'7&amp;8 SU'!AD218</f>
        <v>0</v>
      </c>
      <c r="R48" s="1199">
        <f>'7&amp;8 SU'!AD271</f>
        <v>0</v>
      </c>
      <c r="S48" s="1200">
        <f>'7&amp;8 SU'!AD324</f>
        <v>0</v>
      </c>
    </row>
    <row r="49" spans="1:19" x14ac:dyDescent="0.25">
      <c r="A49" s="1191">
        <v>2046</v>
      </c>
      <c r="B49" s="1201">
        <v>0</v>
      </c>
      <c r="C49" s="1202">
        <f>'7&amp;8 Sleep'!AD115</f>
        <v>0</v>
      </c>
      <c r="D49" s="1202">
        <f>'7&amp;8 Sleep'!AD167</f>
        <v>0</v>
      </c>
      <c r="E49" s="1202">
        <f>'7&amp;8 Sleep'!AD219</f>
        <v>0</v>
      </c>
      <c r="F49" s="1202">
        <f>'7&amp;8 Sleep'!AD272</f>
        <v>0</v>
      </c>
      <c r="G49" s="1203">
        <f>'7&amp;8 Sleep'!AD325</f>
        <v>0</v>
      </c>
      <c r="H49" s="1201">
        <v>0</v>
      </c>
      <c r="I49" s="1202">
        <f>'7&amp;8 Day'!AD115</f>
        <v>0</v>
      </c>
      <c r="J49" s="1202">
        <f>'7&amp;8 Day'!AD167</f>
        <v>0</v>
      </c>
      <c r="K49" s="1202">
        <f>'7&amp;8 Day'!AD219</f>
        <v>0</v>
      </c>
      <c r="L49" s="1202">
        <f>'7&amp;8 Day'!AD272</f>
        <v>0</v>
      </c>
      <c r="M49" s="1203">
        <f>'7&amp;8 Day'!AD325</f>
        <v>0</v>
      </c>
      <c r="N49" s="1201">
        <v>0</v>
      </c>
      <c r="O49" s="1202">
        <f>'7&amp;8 SU'!AD115</f>
        <v>0</v>
      </c>
      <c r="P49" s="1202">
        <f>'7&amp;8 SU'!AD167</f>
        <v>0</v>
      </c>
      <c r="Q49" s="1202">
        <f>'7&amp;8 SU'!AD219</f>
        <v>0</v>
      </c>
      <c r="R49" s="1202">
        <f>'7&amp;8 SU'!AD272</f>
        <v>0</v>
      </c>
      <c r="S49" s="1203">
        <f>'7&amp;8 SU'!AD325</f>
        <v>0</v>
      </c>
    </row>
    <row r="50" spans="1:19" x14ac:dyDescent="0.25">
      <c r="A50" s="1191">
        <v>2047</v>
      </c>
      <c r="B50" s="1194">
        <v>0</v>
      </c>
      <c r="C50" s="1195">
        <f>'7&amp;8 Sleep'!AD116</f>
        <v>0</v>
      </c>
      <c r="D50" s="1195">
        <f>'7&amp;8 Sleep'!AD168</f>
        <v>0</v>
      </c>
      <c r="E50" s="1195">
        <f>'7&amp;8 Sleep'!AD220</f>
        <v>0</v>
      </c>
      <c r="F50" s="1195">
        <f>'7&amp;8 Sleep'!AD273</f>
        <v>0</v>
      </c>
      <c r="G50" s="1196">
        <f>'7&amp;8 Sleep'!AD326</f>
        <v>0</v>
      </c>
      <c r="H50" s="1194">
        <v>0</v>
      </c>
      <c r="I50" s="1195">
        <f>'7&amp;8 Day'!AD116</f>
        <v>0</v>
      </c>
      <c r="J50" s="1195">
        <f>'7&amp;8 Day'!AD168</f>
        <v>0</v>
      </c>
      <c r="K50" s="1195">
        <f>'7&amp;8 Day'!AD220</f>
        <v>0</v>
      </c>
      <c r="L50" s="1195">
        <f>'7&amp;8 Day'!AD273</f>
        <v>0</v>
      </c>
      <c r="M50" s="1196">
        <f>'7&amp;8 Day'!AD326</f>
        <v>0</v>
      </c>
      <c r="N50" s="1194">
        <v>0</v>
      </c>
      <c r="O50" s="1195">
        <f>'7&amp;8 SU'!AD116</f>
        <v>0</v>
      </c>
      <c r="P50" s="1195">
        <f>'7&amp;8 SU'!AD168</f>
        <v>0</v>
      </c>
      <c r="Q50" s="1195">
        <f>'7&amp;8 SU'!AD220</f>
        <v>0</v>
      </c>
      <c r="R50" s="1195">
        <f>'7&amp;8 SU'!AD273</f>
        <v>0</v>
      </c>
      <c r="S50" s="1196">
        <f>'7&amp;8 SU'!AD326</f>
        <v>0</v>
      </c>
    </row>
    <row r="51" spans="1:19" x14ac:dyDescent="0.25">
      <c r="A51" s="1191">
        <v>2048</v>
      </c>
      <c r="B51" s="1194">
        <v>0</v>
      </c>
      <c r="C51" s="1195">
        <f>'7&amp;8 Sleep'!AD117</f>
        <v>0</v>
      </c>
      <c r="D51" s="1195">
        <f>'7&amp;8 Sleep'!AD169</f>
        <v>0</v>
      </c>
      <c r="E51" s="1195">
        <f>'7&amp;8 Sleep'!AD221</f>
        <v>0</v>
      </c>
      <c r="F51" s="1195">
        <f>'7&amp;8 Sleep'!AD274</f>
        <v>0</v>
      </c>
      <c r="G51" s="1196">
        <f>'7&amp;8 Sleep'!AD327</f>
        <v>0</v>
      </c>
      <c r="H51" s="1194">
        <v>0</v>
      </c>
      <c r="I51" s="1195">
        <f>'7&amp;8 Day'!AD117</f>
        <v>0</v>
      </c>
      <c r="J51" s="1195">
        <f>'7&amp;8 Day'!AD169</f>
        <v>0</v>
      </c>
      <c r="K51" s="1195">
        <f>'7&amp;8 Day'!AD221</f>
        <v>0</v>
      </c>
      <c r="L51" s="1195">
        <f>'7&amp;8 Day'!AD274</f>
        <v>0</v>
      </c>
      <c r="M51" s="1196">
        <f>'7&amp;8 Day'!AD327</f>
        <v>0</v>
      </c>
      <c r="N51" s="1194">
        <v>0</v>
      </c>
      <c r="O51" s="1195">
        <f>'7&amp;8 SU'!AD117</f>
        <v>0</v>
      </c>
      <c r="P51" s="1195">
        <f>'7&amp;8 SU'!AD169</f>
        <v>0</v>
      </c>
      <c r="Q51" s="1195">
        <f>'7&amp;8 SU'!AD221</f>
        <v>0</v>
      </c>
      <c r="R51" s="1195">
        <f>'7&amp;8 SU'!AD274</f>
        <v>0</v>
      </c>
      <c r="S51" s="1196">
        <f>'7&amp;8 SU'!AD327</f>
        <v>0</v>
      </c>
    </row>
    <row r="52" spans="1:19" x14ac:dyDescent="0.25">
      <c r="A52" s="1191">
        <v>2049</v>
      </c>
      <c r="B52" s="1194">
        <v>0</v>
      </c>
      <c r="C52" s="1195">
        <f>'7&amp;8 Sleep'!AD118</f>
        <v>0</v>
      </c>
      <c r="D52" s="1195">
        <f>'7&amp;8 Sleep'!AD170</f>
        <v>0</v>
      </c>
      <c r="E52" s="1195">
        <f>'7&amp;8 Sleep'!AD222</f>
        <v>0</v>
      </c>
      <c r="F52" s="1195">
        <f>'7&amp;8 Sleep'!AD275</f>
        <v>0</v>
      </c>
      <c r="G52" s="1196">
        <f>'7&amp;8 Sleep'!AD328</f>
        <v>0</v>
      </c>
      <c r="H52" s="1194">
        <v>0</v>
      </c>
      <c r="I52" s="1195">
        <f>'7&amp;8 Day'!AD118</f>
        <v>0</v>
      </c>
      <c r="J52" s="1195">
        <f>'7&amp;8 Day'!AD170</f>
        <v>0</v>
      </c>
      <c r="K52" s="1195">
        <f>'7&amp;8 Day'!AD222</f>
        <v>0</v>
      </c>
      <c r="L52" s="1195">
        <f>'7&amp;8 Day'!AD275</f>
        <v>0</v>
      </c>
      <c r="M52" s="1196">
        <f>'7&amp;8 Day'!AD328</f>
        <v>0</v>
      </c>
      <c r="N52" s="1194">
        <v>0</v>
      </c>
      <c r="O52" s="1195">
        <f>'7&amp;8 SU'!AD118</f>
        <v>0</v>
      </c>
      <c r="P52" s="1195">
        <f>'7&amp;8 SU'!AD170</f>
        <v>0</v>
      </c>
      <c r="Q52" s="1195">
        <f>'7&amp;8 SU'!AD222</f>
        <v>0</v>
      </c>
      <c r="R52" s="1195">
        <f>'7&amp;8 SU'!AD275</f>
        <v>0</v>
      </c>
      <c r="S52" s="1196">
        <f>'7&amp;8 SU'!AD328</f>
        <v>0</v>
      </c>
    </row>
    <row r="53" spans="1:19" ht="15.75" thickBot="1" x14ac:dyDescent="0.3">
      <c r="A53" s="1204">
        <v>2050</v>
      </c>
      <c r="B53" s="1205">
        <v>0</v>
      </c>
      <c r="C53" s="1206">
        <f>'7&amp;8 Sleep'!AD119</f>
        <v>0</v>
      </c>
      <c r="D53" s="1206">
        <f>'7&amp;8 Sleep'!AD171</f>
        <v>0</v>
      </c>
      <c r="E53" s="1206">
        <f>'7&amp;8 Sleep'!AD223</f>
        <v>0</v>
      </c>
      <c r="F53" s="1206">
        <f>'7&amp;8 Sleep'!AD276</f>
        <v>0</v>
      </c>
      <c r="G53" s="1207">
        <f>'7&amp;8 Sleep'!AD329</f>
        <v>0</v>
      </c>
      <c r="H53" s="1205">
        <v>0</v>
      </c>
      <c r="I53" s="1206">
        <f>'7&amp;8 Day'!AD119</f>
        <v>0</v>
      </c>
      <c r="J53" s="1206">
        <f>'7&amp;8 Day'!AD171</f>
        <v>0</v>
      </c>
      <c r="K53" s="1206">
        <f>'7&amp;8 Day'!AD223</f>
        <v>0</v>
      </c>
      <c r="L53" s="1206">
        <f>'7&amp;8 Day'!AD276</f>
        <v>0</v>
      </c>
      <c r="M53" s="1207">
        <f>'7&amp;8 Day'!AD329</f>
        <v>0</v>
      </c>
      <c r="N53" s="1205">
        <v>0</v>
      </c>
      <c r="O53" s="1206">
        <f>'7&amp;8 SU'!AD119</f>
        <v>0</v>
      </c>
      <c r="P53" s="1206">
        <f>'7&amp;8 SU'!AD171</f>
        <v>0</v>
      </c>
      <c r="Q53" s="1206">
        <f>'7&amp;8 SU'!AD223</f>
        <v>0</v>
      </c>
      <c r="R53" s="1206">
        <f>'7&amp;8 SU'!AD276</f>
        <v>0</v>
      </c>
      <c r="S53" s="1207">
        <f>'7&amp;8 SU'!AD329</f>
        <v>0</v>
      </c>
    </row>
  </sheetData>
  <mergeCells count="6">
    <mergeCell ref="B5:G5"/>
    <mergeCell ref="H5:M5"/>
    <mergeCell ref="N5:S5"/>
    <mergeCell ref="B4:G4"/>
    <mergeCell ref="H4:M4"/>
    <mergeCell ref="N4:S4"/>
  </mergeCells>
  <conditionalFormatting sqref="B6:S53">
    <cfRule type="expression" dxfId="4"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J6" zoomScale="107" zoomScaleNormal="107" workbookViewId="0">
      <selection activeCell="AO9" sqref="AO9"/>
    </sheetView>
  </sheetViews>
  <sheetFormatPr defaultRowHeight="12.75" x14ac:dyDescent="0.2"/>
  <cols>
    <col min="2" max="19" width="10.5703125" customWidth="1"/>
    <col min="22" max="22" width="12.28515625" customWidth="1"/>
    <col min="23" max="25" width="11.5703125" bestFit="1" customWidth="1"/>
    <col min="26" max="26" width="10" customWidth="1"/>
    <col min="27" max="27" width="9.85546875" customWidth="1"/>
    <col min="28" max="28" width="12.7109375" customWidth="1"/>
    <col min="29" max="30" width="10.42578125" bestFit="1" customWidth="1"/>
    <col min="31" max="31" width="11.5703125" bestFit="1" customWidth="1"/>
    <col min="32" max="32" width="9.85546875" customWidth="1"/>
    <col min="33" max="33" width="10.140625" customWidth="1"/>
    <col min="34" max="34" width="13.28515625" customWidth="1"/>
    <col min="35" max="38" width="11.5703125" bestFit="1" customWidth="1"/>
    <col min="39" max="39" width="11.140625" customWidth="1"/>
    <col min="41" max="43" width="15.7109375" customWidth="1"/>
    <col min="44" max="44" width="10.42578125" customWidth="1"/>
    <col min="45" max="48" width="15.140625" customWidth="1"/>
  </cols>
  <sheetData>
    <row r="1" spans="1:48" s="1176" customFormat="1" ht="15.75" x14ac:dyDescent="0.25">
      <c r="A1" s="1208" t="s">
        <v>325</v>
      </c>
    </row>
    <row r="2" spans="1:48" s="1176" customFormat="1" ht="15" x14ac:dyDescent="0.25">
      <c r="A2" s="1176" t="s">
        <v>316</v>
      </c>
    </row>
    <row r="3" spans="1:48" s="1176" customFormat="1" ht="15.75" thickBot="1" x14ac:dyDescent="0.3"/>
    <row r="4" spans="1:48" s="1176" customFormat="1" ht="15" x14ac:dyDescent="0.25">
      <c r="A4" s="1177"/>
      <c r="B4" s="1595" t="s">
        <v>249</v>
      </c>
      <c r="C4" s="1596"/>
      <c r="D4" s="1596"/>
      <c r="E4" s="1596"/>
      <c r="F4" s="1596"/>
      <c r="G4" s="1597"/>
      <c r="H4" s="1595" t="s">
        <v>250</v>
      </c>
      <c r="I4" s="1596"/>
      <c r="J4" s="1596"/>
      <c r="K4" s="1596"/>
      <c r="L4" s="1596"/>
      <c r="M4" s="1597"/>
      <c r="N4" s="1595" t="s">
        <v>154</v>
      </c>
      <c r="O4" s="1596"/>
      <c r="P4" s="1596"/>
      <c r="Q4" s="1596"/>
      <c r="R4" s="1596"/>
      <c r="S4" s="1597"/>
      <c r="U4" s="1177"/>
      <c r="V4" s="1595" t="s">
        <v>249</v>
      </c>
      <c r="W4" s="1596"/>
      <c r="X4" s="1596"/>
      <c r="Y4" s="1596"/>
      <c r="Z4" s="1596"/>
      <c r="AA4" s="1597"/>
      <c r="AB4" s="1595" t="s">
        <v>250</v>
      </c>
      <c r="AC4" s="1596"/>
      <c r="AD4" s="1596"/>
      <c r="AE4" s="1596"/>
      <c r="AF4" s="1596"/>
      <c r="AG4" s="1597"/>
      <c r="AH4" s="1595" t="s">
        <v>154</v>
      </c>
      <c r="AI4" s="1596"/>
      <c r="AJ4" s="1596"/>
      <c r="AK4" s="1596"/>
      <c r="AL4" s="1596"/>
      <c r="AM4" s="1597"/>
    </row>
    <row r="5" spans="1:48" s="1176" customFormat="1" ht="15" x14ac:dyDescent="0.25">
      <c r="A5" s="1178"/>
      <c r="B5" s="1598" t="s">
        <v>129</v>
      </c>
      <c r="C5" s="1599"/>
      <c r="D5" s="1599"/>
      <c r="E5" s="1599"/>
      <c r="F5" s="1599"/>
      <c r="G5" s="1600"/>
      <c r="H5" s="1598" t="s">
        <v>129</v>
      </c>
      <c r="I5" s="1599"/>
      <c r="J5" s="1599"/>
      <c r="K5" s="1599"/>
      <c r="L5" s="1599"/>
      <c r="M5" s="1600"/>
      <c r="N5" s="1598" t="s">
        <v>129</v>
      </c>
      <c r="O5" s="1599"/>
      <c r="P5" s="1599"/>
      <c r="Q5" s="1599"/>
      <c r="R5" s="1599"/>
      <c r="S5" s="1600"/>
      <c r="U5" s="1178"/>
      <c r="V5" s="1598" t="s">
        <v>129</v>
      </c>
      <c r="W5" s="1599"/>
      <c r="X5" s="1599"/>
      <c r="Y5" s="1599"/>
      <c r="Z5" s="1599"/>
      <c r="AA5" s="1600"/>
      <c r="AB5" s="1598" t="s">
        <v>129</v>
      </c>
      <c r="AC5" s="1599"/>
      <c r="AD5" s="1599"/>
      <c r="AE5" s="1599"/>
      <c r="AF5" s="1599"/>
      <c r="AG5" s="1600"/>
      <c r="AH5" s="1598" t="s">
        <v>129</v>
      </c>
      <c r="AI5" s="1599"/>
      <c r="AJ5" s="1599"/>
      <c r="AK5" s="1599"/>
      <c r="AL5" s="1599"/>
      <c r="AM5" s="1600"/>
    </row>
    <row r="6" spans="1:48" s="1176" customFormat="1" ht="15" x14ac:dyDescent="0.25">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c r="U6" s="1178"/>
      <c r="V6" s="1179" t="s">
        <v>69</v>
      </c>
      <c r="W6" s="1180" t="s">
        <v>65</v>
      </c>
      <c r="X6" s="1180" t="s">
        <v>66</v>
      </c>
      <c r="Y6" s="1180" t="s">
        <v>67</v>
      </c>
      <c r="Z6" s="1180" t="s">
        <v>205</v>
      </c>
      <c r="AA6" s="1181" t="s">
        <v>206</v>
      </c>
      <c r="AB6" s="1179" t="s">
        <v>69</v>
      </c>
      <c r="AC6" s="1180" t="s">
        <v>65</v>
      </c>
      <c r="AD6" s="1180" t="s">
        <v>66</v>
      </c>
      <c r="AE6" s="1180" t="s">
        <v>67</v>
      </c>
      <c r="AF6" s="1180" t="s">
        <v>205</v>
      </c>
      <c r="AG6" s="1181" t="s">
        <v>206</v>
      </c>
      <c r="AH6" s="1179" t="s">
        <v>69</v>
      </c>
      <c r="AI6" s="1180" t="s">
        <v>65</v>
      </c>
      <c r="AJ6" s="1180" t="s">
        <v>66</v>
      </c>
      <c r="AK6" s="1180" t="s">
        <v>67</v>
      </c>
      <c r="AL6" s="1180" t="s">
        <v>205</v>
      </c>
      <c r="AM6" s="1181" t="s">
        <v>206</v>
      </c>
    </row>
    <row r="7" spans="1:48" s="1176" customFormat="1" ht="45" customHeight="1" x14ac:dyDescent="0.25">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c r="U7" s="1182"/>
      <c r="V7" s="1183" t="str">
        <f t="shared" ref="V7:AA7" si="3">INDEX(TECH_OPT_DESC_Cls1,MATCH(V6,TECH_OPT_ROWS_Cls1,0))</f>
        <v>Conventional Diesel ICE</v>
      </c>
      <c r="W7" s="1184" t="str">
        <f t="shared" si="3"/>
        <v>Adv Conv</v>
      </c>
      <c r="X7" s="1184" t="str">
        <f t="shared" si="3"/>
        <v>HEV</v>
      </c>
      <c r="Y7" s="1184" t="str">
        <f t="shared" si="3"/>
        <v>BEV</v>
      </c>
      <c r="Z7" s="1184" t="str">
        <f t="shared" si="3"/>
        <v>FCEV</v>
      </c>
      <c r="AA7" s="1185">
        <f t="shared" si="3"/>
        <v>0</v>
      </c>
      <c r="AB7" s="1183" t="str">
        <f t="shared" ref="AB7:AG7" si="4">INDEX(TECH_OPT_DESC_Cls2,MATCH(AB6,TECH_OPT_ROWS_Cls2,0))</f>
        <v>Conventional Diesel ICE</v>
      </c>
      <c r="AC7" s="1184" t="str">
        <f t="shared" si="4"/>
        <v>Adv Conv</v>
      </c>
      <c r="AD7" s="1184" t="str">
        <f t="shared" si="4"/>
        <v>HEV</v>
      </c>
      <c r="AE7" s="1184" t="str">
        <f t="shared" si="4"/>
        <v>BEV</v>
      </c>
      <c r="AF7" s="1184" t="str">
        <f t="shared" si="4"/>
        <v>FCEV</v>
      </c>
      <c r="AG7" s="1185">
        <f t="shared" si="4"/>
        <v>0</v>
      </c>
      <c r="AH7" s="1183" t="str">
        <f t="shared" ref="AH7:AM7" si="5">INDEX(TECH_OPT_DESC_Cls3,MATCH(AH6,TECH_OPT_ROWS_Cls3,0))</f>
        <v>Conventional Diesel ICE</v>
      </c>
      <c r="AI7" s="1184" t="str">
        <f t="shared" si="5"/>
        <v>Adv Conv</v>
      </c>
      <c r="AJ7" s="1184" t="str">
        <f t="shared" si="5"/>
        <v>HEV</v>
      </c>
      <c r="AK7" s="1184" t="str">
        <f t="shared" si="5"/>
        <v>BEV</v>
      </c>
      <c r="AL7" s="1184" t="str">
        <f t="shared" si="5"/>
        <v>FCEV</v>
      </c>
      <c r="AM7" s="1185">
        <f t="shared" si="5"/>
        <v>0</v>
      </c>
      <c r="AO7" s="1608" t="s">
        <v>374</v>
      </c>
      <c r="AP7" s="1609"/>
      <c r="AQ7" s="1610"/>
      <c r="AR7" s="1335"/>
      <c r="AS7" s="1608" t="s">
        <v>375</v>
      </c>
      <c r="AT7" s="1609"/>
      <c r="AU7" s="1609"/>
      <c r="AV7" s="1610"/>
    </row>
    <row r="8" spans="1:48" s="1176" customFormat="1" ht="15.75" thickBot="1" x14ac:dyDescent="0.3">
      <c r="A8" s="1186" t="s">
        <v>3</v>
      </c>
      <c r="B8" s="1187" t="str">
        <f t="shared" ref="B8:G8" si="6">INDEX(TECH_OPT_FUEL1_Cls1,MATCH(B6,TECH_OPT_ROWS_Cls1,0))</f>
        <v>Diesel</v>
      </c>
      <c r="C8" s="1188" t="str">
        <f t="shared" si="6"/>
        <v>Diesel</v>
      </c>
      <c r="D8" s="1188" t="str">
        <f t="shared" si="6"/>
        <v>Diesel</v>
      </c>
      <c r="E8" s="1188" t="str">
        <f t="shared" si="6"/>
        <v>Electricity</v>
      </c>
      <c r="F8" s="1188" t="str">
        <f t="shared" si="6"/>
        <v>Hydrogen</v>
      </c>
      <c r="G8" s="1189" t="str">
        <f t="shared" si="6"/>
        <v>Diesel</v>
      </c>
      <c r="H8" s="1190" t="str">
        <f t="shared" ref="H8:M8" si="7">INDEX(TECH_OPT_FUEL1_Cls2,MATCH(H6,TECH_OPT_ROWS_Cls2,0))</f>
        <v>Diesel</v>
      </c>
      <c r="I8" s="1188" t="str">
        <f t="shared" si="7"/>
        <v>Diesel</v>
      </c>
      <c r="J8" s="1188" t="str">
        <f t="shared" si="7"/>
        <v>Diesel</v>
      </c>
      <c r="K8" s="1188" t="str">
        <f t="shared" si="7"/>
        <v>Electricity</v>
      </c>
      <c r="L8" s="1188" t="str">
        <f t="shared" si="7"/>
        <v>Hydrogen</v>
      </c>
      <c r="M8" s="1189" t="str">
        <f t="shared" si="7"/>
        <v>Diesel</v>
      </c>
      <c r="N8" s="1187" t="str">
        <f t="shared" ref="N8:S8" si="8">INDEX(TECH_OPT_FUEL1_Cls3,MATCH(N6,TECH_OPT_ROWS_Cls3,0))</f>
        <v>Diesel</v>
      </c>
      <c r="O8" s="1188" t="str">
        <f t="shared" si="8"/>
        <v>Diesel</v>
      </c>
      <c r="P8" s="1188" t="str">
        <f t="shared" si="8"/>
        <v>Diesel</v>
      </c>
      <c r="Q8" s="1188" t="str">
        <f t="shared" si="8"/>
        <v>Electricity</v>
      </c>
      <c r="R8" s="1188" t="str">
        <f t="shared" si="8"/>
        <v>Hydrogen</v>
      </c>
      <c r="S8" s="1189" t="str">
        <f t="shared" si="8"/>
        <v>Diesel</v>
      </c>
      <c r="U8" s="1186" t="s">
        <v>3</v>
      </c>
      <c r="V8" s="1187" t="str">
        <f t="shared" ref="V8:AA8" si="9">INDEX(TECH_OPT_FUEL1_Cls1,MATCH(V6,TECH_OPT_ROWS_Cls1,0))</f>
        <v>Diesel</v>
      </c>
      <c r="W8" s="1188" t="str">
        <f t="shared" si="9"/>
        <v>Diesel</v>
      </c>
      <c r="X8" s="1188" t="str">
        <f t="shared" si="9"/>
        <v>Diesel</v>
      </c>
      <c r="Y8" s="1188" t="str">
        <f t="shared" si="9"/>
        <v>Electricity</v>
      </c>
      <c r="Z8" s="1188" t="str">
        <f t="shared" si="9"/>
        <v>Hydrogen</v>
      </c>
      <c r="AA8" s="1189" t="str">
        <f t="shared" si="9"/>
        <v>Diesel</v>
      </c>
      <c r="AB8" s="1190" t="str">
        <f t="shared" ref="AB8:AG8" si="10">INDEX(TECH_OPT_FUEL1_Cls2,MATCH(AB6,TECH_OPT_ROWS_Cls2,0))</f>
        <v>Diesel</v>
      </c>
      <c r="AC8" s="1188" t="str">
        <f t="shared" si="10"/>
        <v>Diesel</v>
      </c>
      <c r="AD8" s="1188" t="str">
        <f t="shared" si="10"/>
        <v>Diesel</v>
      </c>
      <c r="AE8" s="1188" t="str">
        <f t="shared" si="10"/>
        <v>Electricity</v>
      </c>
      <c r="AF8" s="1188" t="str">
        <f t="shared" si="10"/>
        <v>Hydrogen</v>
      </c>
      <c r="AG8" s="1189" t="str">
        <f t="shared" si="10"/>
        <v>Diesel</v>
      </c>
      <c r="AH8" s="1187" t="str">
        <f t="shared" ref="AH8:AM8" si="11">INDEX(TECH_OPT_FUEL1_Cls3,MATCH(AH6,TECH_OPT_ROWS_Cls3,0))</f>
        <v>Diesel</v>
      </c>
      <c r="AI8" s="1188" t="str">
        <f t="shared" si="11"/>
        <v>Diesel</v>
      </c>
      <c r="AJ8" s="1188" t="str">
        <f t="shared" si="11"/>
        <v>Diesel</v>
      </c>
      <c r="AK8" s="1188" t="str">
        <f t="shared" si="11"/>
        <v>Electricity</v>
      </c>
      <c r="AL8" s="1188" t="str">
        <f t="shared" si="11"/>
        <v>Hydrogen</v>
      </c>
      <c r="AM8" s="1189" t="str">
        <f t="shared" si="11"/>
        <v>Diesel</v>
      </c>
      <c r="AO8" s="1319" t="s">
        <v>371</v>
      </c>
      <c r="AP8" s="1320" t="s">
        <v>372</v>
      </c>
      <c r="AQ8" s="1321" t="s">
        <v>373</v>
      </c>
      <c r="AR8" s="1336"/>
      <c r="AS8" s="1319" t="s">
        <v>371</v>
      </c>
      <c r="AT8" s="1320" t="s">
        <v>372</v>
      </c>
      <c r="AU8" s="1320" t="s">
        <v>373</v>
      </c>
      <c r="AV8" s="1326" t="s">
        <v>370</v>
      </c>
    </row>
    <row r="9" spans="1:48" s="1176" customFormat="1" ht="15.75" thickTop="1" x14ac:dyDescent="0.25">
      <c r="A9" s="1191">
        <v>2007</v>
      </c>
      <c r="B9" s="1245">
        <f>IF('Mkt Pen Veh-Mi'!B9=0,1,1/((1-Fuel2ShrbyTech!B10)/'Inputs 7&amp;8 Sleep'!$N22+Fuel2ShrbyTech!B10/'Inputs 7&amp;8 Sleep'!$T22))</f>
        <v>5.9278738513698928</v>
      </c>
      <c r="C9" s="1242">
        <f>IF('Mkt Pen Veh-Mi'!C9=0,1,1/((1-Fuel2ShrbyTech!C10)/'Inputs 7&amp;8 Sleep'!$O22+Fuel2ShrbyTech!C10/'Inputs 7&amp;8 Sleep'!$U22))</f>
        <v>1</v>
      </c>
      <c r="D9" s="1242">
        <f>IF('Mkt Pen Veh-Mi'!D9=0,1,1/((1-Fuel2ShrbyTech!D10)/'Inputs 7&amp;8 Sleep'!$P22+Fuel2ShrbyTech!D10/'Inputs 7&amp;8 Sleep'!$V22))</f>
        <v>1</v>
      </c>
      <c r="E9" s="1242">
        <f>IF('Mkt Pen Veh-Mi'!E9=0,1,1/((1-Fuel2ShrbyTech!E10)/'Inputs 7&amp;8 Sleep'!$Q22+Fuel2ShrbyTech!E10/'Inputs 7&amp;8 Sleep'!$W22))</f>
        <v>1</v>
      </c>
      <c r="F9" s="1242">
        <f>IF('Mkt Pen Veh-Mi'!F9=0,1,1/((1-Fuel2ShrbyTech!F10)/'Inputs 7&amp;8 Sleep'!$R22+Fuel2ShrbyTech!F10/'Inputs 7&amp;8 Sleep'!$X22))</f>
        <v>1</v>
      </c>
      <c r="G9" s="1243">
        <f>IF('Mkt Pen Veh-Mi'!G9=0,1,1/((1-Fuel2ShrbyTech!G10)/'Inputs 7&amp;8 Sleep'!$S22+Fuel2ShrbyTech!G10/'Inputs 7&amp;8 Sleep'!$Y22))</f>
        <v>1</v>
      </c>
      <c r="H9" s="1245">
        <f>IF('Mkt Pen Veh-Mi'!H9=0,1,1/((1-Fuel2ShrbyTech!H10)/'Inputs 7&amp;8 Day'!$N22+Fuel2ShrbyTech!H10/'Inputs 7&amp;8 Day'!$T22))</f>
        <v>5.9278738513698928</v>
      </c>
      <c r="I9" s="1242">
        <f>IF('Mkt Pen Veh-Mi'!I9=0,1,1/((1-Fuel2ShrbyTech!I10)/'Inputs 7&amp;8 Day'!$O22+Fuel2ShrbyTech!I10/'Inputs 7&amp;8 Day'!$U22))</f>
        <v>1</v>
      </c>
      <c r="J9" s="1242">
        <f>IF('Mkt Pen Veh-Mi'!J9=0,1,1/((1-Fuel2ShrbyTech!J10)/'Inputs 7&amp;8 Day'!$P22+Fuel2ShrbyTech!J10/'Inputs 7&amp;8 Day'!$V22))</f>
        <v>1</v>
      </c>
      <c r="K9" s="1242">
        <f>IF('Mkt Pen Veh-Mi'!K9=0,1,1/((1-Fuel2ShrbyTech!K10)/'Inputs 7&amp;8 Day'!$Q22+Fuel2ShrbyTech!K10/'Inputs 7&amp;8 Day'!$W22))</f>
        <v>1</v>
      </c>
      <c r="L9" s="1242">
        <f>IF('Mkt Pen Veh-Mi'!L9=0,1,1/((1-Fuel2ShrbyTech!L10)/'Inputs 7&amp;8 Day'!$R22+Fuel2ShrbyTech!L10/'Inputs 7&amp;8 Day'!$X22))</f>
        <v>1</v>
      </c>
      <c r="M9" s="1243">
        <f>IF('Mkt Pen Veh-Mi'!M9=0,1,1/((1-Fuel2ShrbyTech!M10)/'Inputs 7&amp;8 Day'!$S22+Fuel2ShrbyTech!M10/'Inputs 7&amp;8 Day'!$Y22))</f>
        <v>1</v>
      </c>
      <c r="N9" s="1245">
        <f>IF('Mkt Pen Veh-Mi'!N9=0,1,1/((1-Fuel2ShrbyTech!N10)/'Inputs 7&amp;8 SU'!$N22+Fuel2ShrbyTech!N10/'Inputs 7&amp;8 SU'!$T22))</f>
        <v>5.9278738513698928</v>
      </c>
      <c r="O9" s="1242">
        <f>IF('Mkt Pen Veh-Mi'!O9=0,1,1/((1-Fuel2ShrbyTech!O10)/'Inputs 7&amp;8 SU'!$O22+Fuel2ShrbyTech!O10/'Inputs 7&amp;8 SU'!$U22))</f>
        <v>1</v>
      </c>
      <c r="P9" s="1242">
        <f>IF('Mkt Pen Veh-Mi'!P9=0,1,1/((1-Fuel2ShrbyTech!P10)/'Inputs 7&amp;8 SU'!$P22+Fuel2ShrbyTech!P10/'Inputs 7&amp;8 SU'!$V22))</f>
        <v>1</v>
      </c>
      <c r="Q9" s="1242">
        <f>IF('Mkt Pen Veh-Mi'!Q9=0,1,1/((1-Fuel2ShrbyTech!Q10)/'Inputs 7&amp;8 SU'!$Q22+Fuel2ShrbyTech!Q10/'Inputs 7&amp;8 SU'!$W22))</f>
        <v>1</v>
      </c>
      <c r="R9" s="1242">
        <f>IF('Mkt Pen Veh-Mi'!R9=0,1,1/((1-Fuel2ShrbyTech!R10)/'Inputs 7&amp;8 SU'!$R22+Fuel2ShrbyTech!R10/'Inputs 7&amp;8 SU'!$X22))</f>
        <v>1</v>
      </c>
      <c r="S9" s="1244">
        <f>IF('Mkt Pen Veh-Mi'!S9=0,1,1/((1-Fuel2ShrbyTech!S10)/'Inputs 7&amp;8 SU'!$S22+Fuel2ShrbyTech!S10/'Inputs 7&amp;8 SU'!$Y22))</f>
        <v>1</v>
      </c>
      <c r="U9" s="1191">
        <f>A9</f>
        <v>2007</v>
      </c>
      <c r="V9" s="1245">
        <f>IF(B9=1,0,B9)</f>
        <v>5.9278738513698928</v>
      </c>
      <c r="W9" s="1242">
        <f t="shared" ref="W9:AM9" si="12">IF(C9=1,0,C9)</f>
        <v>0</v>
      </c>
      <c r="X9" s="1242">
        <f t="shared" si="12"/>
        <v>0</v>
      </c>
      <c r="Y9" s="1242">
        <f t="shared" si="12"/>
        <v>0</v>
      </c>
      <c r="Z9" s="1242">
        <f t="shared" si="12"/>
        <v>0</v>
      </c>
      <c r="AA9" s="1243">
        <f t="shared" si="12"/>
        <v>0</v>
      </c>
      <c r="AB9" s="1245">
        <f t="shared" si="12"/>
        <v>5.9278738513698928</v>
      </c>
      <c r="AC9" s="1242">
        <f t="shared" si="12"/>
        <v>0</v>
      </c>
      <c r="AD9" s="1242">
        <f t="shared" si="12"/>
        <v>0</v>
      </c>
      <c r="AE9" s="1242">
        <f t="shared" si="12"/>
        <v>0</v>
      </c>
      <c r="AF9" s="1242">
        <f t="shared" si="12"/>
        <v>0</v>
      </c>
      <c r="AG9" s="1243">
        <f t="shared" si="12"/>
        <v>0</v>
      </c>
      <c r="AH9" s="1245">
        <f t="shared" si="12"/>
        <v>5.9278738513698928</v>
      </c>
      <c r="AI9" s="1242">
        <f t="shared" si="12"/>
        <v>0</v>
      </c>
      <c r="AJ9" s="1242">
        <f t="shared" si="12"/>
        <v>0</v>
      </c>
      <c r="AK9" s="1242">
        <f t="shared" si="12"/>
        <v>0</v>
      </c>
      <c r="AL9" s="1242">
        <f t="shared" si="12"/>
        <v>0</v>
      </c>
      <c r="AM9" s="1244">
        <f t="shared" si="12"/>
        <v>0</v>
      </c>
      <c r="AN9" s="1176">
        <v>2007</v>
      </c>
      <c r="AO9" s="1322">
        <f t="array" ref="AO9">1/SUMPRODUCT(IFERROR(1/V9:AA9,0),'Mkt Pen Veh-Mi'!B9:G9)</f>
        <v>5.9278738513698928</v>
      </c>
      <c r="AP9" s="1323">
        <f t="array" ref="AP9">1/SUMPRODUCT(IFERROR(1/AB9:AG9,0),'Mkt Pen Veh-Mi'!H9:M9)</f>
        <v>5.9278738513698928</v>
      </c>
      <c r="AQ9" s="1327">
        <f t="array" ref="AQ9">1/SUMPRODUCT(IFERROR(1/AH9:AM9,0),'Mkt Pen Veh-Mi'!N9:S9)</f>
        <v>5.9278738513698928</v>
      </c>
      <c r="AR9" s="1320">
        <v>2007</v>
      </c>
      <c r="AS9" s="1322">
        <f>AO9/V9</f>
        <v>1</v>
      </c>
      <c r="AT9" s="1323">
        <f>AP9/AB9</f>
        <v>1</v>
      </c>
      <c r="AU9" s="1323">
        <f>AQ9/AH9</f>
        <v>1</v>
      </c>
      <c r="AV9" s="1327">
        <v>1</v>
      </c>
    </row>
    <row r="10" spans="1:48" s="1176" customFormat="1" ht="15" x14ac:dyDescent="0.25">
      <c r="A10" s="1191">
        <v>2008</v>
      </c>
      <c r="B10" s="1245">
        <f>IF('Mkt Pen Veh-Mi'!B10=0,1,1/((1-Fuel2ShrbyTech!B11)/'Inputs 7&amp;8 Sleep'!$N23+Fuel2ShrbyTech!B11/'Inputs 7&amp;8 Sleep'!$T23))</f>
        <v>5.9278738513698928</v>
      </c>
      <c r="C10" s="1246">
        <f>IF('Mkt Pen Veh-Mi'!C10=0,1,1/((1-Fuel2ShrbyTech!C11)/'Inputs 7&amp;8 Sleep'!$O23+Fuel2ShrbyTech!C11/'Inputs 7&amp;8 Sleep'!$U23))</f>
        <v>1</v>
      </c>
      <c r="D10" s="1246">
        <f>IF('Mkt Pen Veh-Mi'!D10=0,1,1/((1-Fuel2ShrbyTech!D11)/'Inputs 7&amp;8 Sleep'!$P23+Fuel2ShrbyTech!D11/'Inputs 7&amp;8 Sleep'!$V23))</f>
        <v>1</v>
      </c>
      <c r="E10" s="1246">
        <f>IF('Mkt Pen Veh-Mi'!E10=0,1,1/((1-Fuel2ShrbyTech!E11)/'Inputs 7&amp;8 Sleep'!$Q23+Fuel2ShrbyTech!E11/'Inputs 7&amp;8 Sleep'!$W23))</f>
        <v>1</v>
      </c>
      <c r="F10" s="1246">
        <f>IF('Mkt Pen Veh-Mi'!F10=0,1,1/((1-Fuel2ShrbyTech!F11)/'Inputs 7&amp;8 Sleep'!$R23+Fuel2ShrbyTech!F11/'Inputs 7&amp;8 Sleep'!$X23))</f>
        <v>1</v>
      </c>
      <c r="G10" s="1247">
        <f>IF('Mkt Pen Veh-Mi'!G10=0,1,1/((1-Fuel2ShrbyTech!G11)/'Inputs 7&amp;8 Sleep'!$S23+Fuel2ShrbyTech!G11/'Inputs 7&amp;8 Sleep'!$Y23))</f>
        <v>1</v>
      </c>
      <c r="H10" s="1245">
        <f>IF('Mkt Pen Veh-Mi'!H10=0,1,1/((1-Fuel2ShrbyTech!H11)/'Inputs 7&amp;8 Day'!$N23+Fuel2ShrbyTech!H11/'Inputs 7&amp;8 Day'!$T23))</f>
        <v>5.9278738513698928</v>
      </c>
      <c r="I10" s="1246">
        <f>IF('Mkt Pen Veh-Mi'!I10=0,1,1/((1-Fuel2ShrbyTech!I11)/'Inputs 7&amp;8 Day'!$O23+Fuel2ShrbyTech!I11/'Inputs 7&amp;8 Day'!$U23))</f>
        <v>1</v>
      </c>
      <c r="J10" s="1246">
        <f>IF('Mkt Pen Veh-Mi'!J10=0,1,1/((1-Fuel2ShrbyTech!J11)/'Inputs 7&amp;8 Day'!$P23+Fuel2ShrbyTech!J11/'Inputs 7&amp;8 Day'!$V23))</f>
        <v>1</v>
      </c>
      <c r="K10" s="1246">
        <f>IF('Mkt Pen Veh-Mi'!K10=0,1,1/((1-Fuel2ShrbyTech!K11)/'Inputs 7&amp;8 Day'!$Q23+Fuel2ShrbyTech!K11/'Inputs 7&amp;8 Day'!$W23))</f>
        <v>1</v>
      </c>
      <c r="L10" s="1246">
        <f>IF('Mkt Pen Veh-Mi'!L10=0,1,1/((1-Fuel2ShrbyTech!L11)/'Inputs 7&amp;8 Day'!$R23+Fuel2ShrbyTech!L11/'Inputs 7&amp;8 Day'!$X23))</f>
        <v>1</v>
      </c>
      <c r="M10" s="1247">
        <f>IF('Mkt Pen Veh-Mi'!M10=0,1,1/((1-Fuel2ShrbyTech!M11)/'Inputs 7&amp;8 Day'!$S23+Fuel2ShrbyTech!M11/'Inputs 7&amp;8 Day'!$Y23))</f>
        <v>1</v>
      </c>
      <c r="N10" s="1245">
        <f>IF('Mkt Pen Veh-Mi'!N10=0,1,1/((1-Fuel2ShrbyTech!N11)/'Inputs 7&amp;8 SU'!$N23+Fuel2ShrbyTech!N11/'Inputs 7&amp;8 SU'!$T23))</f>
        <v>5.9278738513698928</v>
      </c>
      <c r="O10" s="1246">
        <f>IF('Mkt Pen Veh-Mi'!O10=0,1,1/((1-Fuel2ShrbyTech!O11)/'Inputs 7&amp;8 SU'!$O23+Fuel2ShrbyTech!O11/'Inputs 7&amp;8 SU'!$U23))</f>
        <v>1</v>
      </c>
      <c r="P10" s="1246">
        <f>IF('Mkt Pen Veh-Mi'!P10=0,1,1/((1-Fuel2ShrbyTech!P11)/'Inputs 7&amp;8 SU'!$P23+Fuel2ShrbyTech!P11/'Inputs 7&amp;8 SU'!$V23))</f>
        <v>1</v>
      </c>
      <c r="Q10" s="1246">
        <f>IF('Mkt Pen Veh-Mi'!Q10=0,1,1/((1-Fuel2ShrbyTech!Q11)/'Inputs 7&amp;8 SU'!$Q23+Fuel2ShrbyTech!Q11/'Inputs 7&amp;8 SU'!$W23))</f>
        <v>1</v>
      </c>
      <c r="R10" s="1246">
        <f>IF('Mkt Pen Veh-Mi'!R10=0,1,1/((1-Fuel2ShrbyTech!R11)/'Inputs 7&amp;8 SU'!$R23+Fuel2ShrbyTech!R11/'Inputs 7&amp;8 SU'!$X23))</f>
        <v>1</v>
      </c>
      <c r="S10" s="1247">
        <f>IF('Mkt Pen Veh-Mi'!S10=0,1,1/((1-Fuel2ShrbyTech!S11)/'Inputs 7&amp;8 SU'!$S23+Fuel2ShrbyTech!S11/'Inputs 7&amp;8 SU'!$Y23))</f>
        <v>1</v>
      </c>
      <c r="U10" s="1191">
        <f t="shared" ref="U10:U52" si="13">A10</f>
        <v>2008</v>
      </c>
      <c r="V10" s="1245">
        <f t="shared" ref="V10:V52" si="14">IF(B10=1,0,B10)</f>
        <v>5.9278738513698928</v>
      </c>
      <c r="W10" s="1246">
        <f t="shared" ref="W10:W52" si="15">IF(C10=1,0,C10)</f>
        <v>0</v>
      </c>
      <c r="X10" s="1246">
        <f t="shared" ref="X10:X52" si="16">IF(D10=1,0,D10)</f>
        <v>0</v>
      </c>
      <c r="Y10" s="1246">
        <f t="shared" ref="Y10:Y52" si="17">IF(E10=1,0,E10)</f>
        <v>0</v>
      </c>
      <c r="Z10" s="1246">
        <f t="shared" ref="Z10:Z52" si="18">IF(F10=1,0,F10)</f>
        <v>0</v>
      </c>
      <c r="AA10" s="1247">
        <f t="shared" ref="AA10:AA52" si="19">IF(G10=1,0,G10)</f>
        <v>0</v>
      </c>
      <c r="AB10" s="1245">
        <f t="shared" ref="AB10:AB52" si="20">IF(H10=1,0,H10)</f>
        <v>5.9278738513698928</v>
      </c>
      <c r="AC10" s="1246">
        <f t="shared" ref="AC10:AC52" si="21">IF(I10=1,0,I10)</f>
        <v>0</v>
      </c>
      <c r="AD10" s="1246">
        <f t="shared" ref="AD10:AD52" si="22">IF(J10=1,0,J10)</f>
        <v>0</v>
      </c>
      <c r="AE10" s="1246">
        <f t="shared" ref="AE10:AE52" si="23">IF(K10=1,0,K10)</f>
        <v>0</v>
      </c>
      <c r="AF10" s="1246">
        <f t="shared" ref="AF10:AF52" si="24">IF(L10=1,0,L10)</f>
        <v>0</v>
      </c>
      <c r="AG10" s="1247">
        <f t="shared" ref="AG10:AG52" si="25">IF(M10=1,0,M10)</f>
        <v>0</v>
      </c>
      <c r="AH10" s="1245">
        <f t="shared" ref="AH10:AH52" si="26">IF(N10=1,0,N10)</f>
        <v>5.9278738513698928</v>
      </c>
      <c r="AI10" s="1246">
        <f t="shared" ref="AI10:AI52" si="27">IF(O10=1,0,O10)</f>
        <v>0</v>
      </c>
      <c r="AJ10" s="1246">
        <f t="shared" ref="AJ10:AJ52" si="28">IF(P10=1,0,P10)</f>
        <v>0</v>
      </c>
      <c r="AK10" s="1246">
        <f t="shared" ref="AK10:AK52" si="29">IF(Q10=1,0,Q10)</f>
        <v>0</v>
      </c>
      <c r="AL10" s="1246">
        <f t="shared" ref="AL10:AL52" si="30">IF(R10=1,0,R10)</f>
        <v>0</v>
      </c>
      <c r="AM10" s="1247">
        <f t="shared" ref="AM10:AM52" si="31">IF(S10=1,0,S10)</f>
        <v>0</v>
      </c>
      <c r="AN10" s="1176">
        <v>2008</v>
      </c>
      <c r="AO10" s="1322">
        <f t="array" ref="AO10">1/SUMPRODUCT(IFERROR(1/V10:AA10,0),'Mkt Pen Veh-Mi'!B10:G10)</f>
        <v>5.9278738513698928</v>
      </c>
      <c r="AP10" s="1323">
        <f t="array" ref="AP10">1/SUMPRODUCT(IFERROR(1/AB10:AG10,0),'Mkt Pen Veh-Mi'!H10:M10)</f>
        <v>5.9278738513698928</v>
      </c>
      <c r="AQ10" s="1327">
        <f t="array" ref="AQ10">1/SUMPRODUCT(IFERROR(1/AH10:AM10,0),'Mkt Pen Veh-Mi'!N10:S10)</f>
        <v>5.9278738513698928</v>
      </c>
      <c r="AR10" s="1320">
        <v>2008</v>
      </c>
      <c r="AS10" s="1322">
        <f t="shared" ref="AS10:AS52" si="32">AO10/V10</f>
        <v>1</v>
      </c>
      <c r="AT10" s="1323">
        <f t="shared" ref="AT10:AT52" si="33">AP10/AB10</f>
        <v>1</v>
      </c>
      <c r="AU10" s="1323">
        <f t="shared" ref="AU10:AU52" si="34">AQ10/AH10</f>
        <v>1</v>
      </c>
      <c r="AV10" s="1327">
        <v>1</v>
      </c>
    </row>
    <row r="11" spans="1:48" s="1176" customFormat="1" ht="15" x14ac:dyDescent="0.25">
      <c r="A11" s="1191">
        <v>2009</v>
      </c>
      <c r="B11" s="1245">
        <f>IF('Mkt Pen Veh-Mi'!B11=0,1,1/((1-Fuel2ShrbyTech!B12)/'Inputs 7&amp;8 Sleep'!$N24+Fuel2ShrbyTech!B12/'Inputs 7&amp;8 Sleep'!$T24))</f>
        <v>5.9278738513698928</v>
      </c>
      <c r="C11" s="1246">
        <f>IF('Mkt Pen Veh-Mi'!C11=0,1,1/((1-Fuel2ShrbyTech!C12)/'Inputs 7&amp;8 Sleep'!$O24+Fuel2ShrbyTech!C12/'Inputs 7&amp;8 Sleep'!$U24))</f>
        <v>1</v>
      </c>
      <c r="D11" s="1246">
        <f>IF('Mkt Pen Veh-Mi'!D11=0,1,1/((1-Fuel2ShrbyTech!D12)/'Inputs 7&amp;8 Sleep'!$P24+Fuel2ShrbyTech!D12/'Inputs 7&amp;8 Sleep'!$V24))</f>
        <v>1</v>
      </c>
      <c r="E11" s="1246">
        <f>IF('Mkt Pen Veh-Mi'!E11=0,1,1/((1-Fuel2ShrbyTech!E12)/'Inputs 7&amp;8 Sleep'!$Q24+Fuel2ShrbyTech!E12/'Inputs 7&amp;8 Sleep'!$W24))</f>
        <v>1</v>
      </c>
      <c r="F11" s="1246">
        <f>IF('Mkt Pen Veh-Mi'!F11=0,1,1/((1-Fuel2ShrbyTech!F12)/'Inputs 7&amp;8 Sleep'!$R24+Fuel2ShrbyTech!F12/'Inputs 7&amp;8 Sleep'!$X24))</f>
        <v>1</v>
      </c>
      <c r="G11" s="1247">
        <f>IF('Mkt Pen Veh-Mi'!G11=0,1,1/((1-Fuel2ShrbyTech!G12)/'Inputs 7&amp;8 Sleep'!$S24+Fuel2ShrbyTech!G12/'Inputs 7&amp;8 Sleep'!$Y24))</f>
        <v>1</v>
      </c>
      <c r="H11" s="1245">
        <f>IF('Mkt Pen Veh-Mi'!H11=0,1,1/((1-Fuel2ShrbyTech!H12)/'Inputs 7&amp;8 Day'!$N24+Fuel2ShrbyTech!H12/'Inputs 7&amp;8 Day'!$T24))</f>
        <v>5.9278738513698928</v>
      </c>
      <c r="I11" s="1246">
        <f>IF('Mkt Pen Veh-Mi'!I11=0,1,1/((1-Fuel2ShrbyTech!I12)/'Inputs 7&amp;8 Day'!$O24+Fuel2ShrbyTech!I12/'Inputs 7&amp;8 Day'!$U24))</f>
        <v>1</v>
      </c>
      <c r="J11" s="1246">
        <f>IF('Mkt Pen Veh-Mi'!J11=0,1,1/((1-Fuel2ShrbyTech!J12)/'Inputs 7&amp;8 Day'!$P24+Fuel2ShrbyTech!J12/'Inputs 7&amp;8 Day'!$V24))</f>
        <v>1</v>
      </c>
      <c r="K11" s="1246">
        <f>IF('Mkt Pen Veh-Mi'!K11=0,1,1/((1-Fuel2ShrbyTech!K12)/'Inputs 7&amp;8 Day'!$Q24+Fuel2ShrbyTech!K12/'Inputs 7&amp;8 Day'!$W24))</f>
        <v>1</v>
      </c>
      <c r="L11" s="1246">
        <f>IF('Mkt Pen Veh-Mi'!L11=0,1,1/((1-Fuel2ShrbyTech!L12)/'Inputs 7&amp;8 Day'!$R24+Fuel2ShrbyTech!L12/'Inputs 7&amp;8 Day'!$X24))</f>
        <v>1</v>
      </c>
      <c r="M11" s="1247">
        <f>IF('Mkt Pen Veh-Mi'!M11=0,1,1/((1-Fuel2ShrbyTech!M12)/'Inputs 7&amp;8 Day'!$S24+Fuel2ShrbyTech!M12/'Inputs 7&amp;8 Day'!$Y24))</f>
        <v>1</v>
      </c>
      <c r="N11" s="1245">
        <f>IF('Mkt Pen Veh-Mi'!N11=0,1,1/((1-Fuel2ShrbyTech!N12)/'Inputs 7&amp;8 SU'!$N24+Fuel2ShrbyTech!N12/'Inputs 7&amp;8 SU'!$T24))</f>
        <v>5.9278738513698928</v>
      </c>
      <c r="O11" s="1246">
        <f>IF('Mkt Pen Veh-Mi'!O11=0,1,1/((1-Fuel2ShrbyTech!O12)/'Inputs 7&amp;8 SU'!$O24+Fuel2ShrbyTech!O12/'Inputs 7&amp;8 SU'!$U24))</f>
        <v>1</v>
      </c>
      <c r="P11" s="1246">
        <f>IF('Mkt Pen Veh-Mi'!P11=0,1,1/((1-Fuel2ShrbyTech!P12)/'Inputs 7&amp;8 SU'!$P24+Fuel2ShrbyTech!P12/'Inputs 7&amp;8 SU'!$V24))</f>
        <v>1</v>
      </c>
      <c r="Q11" s="1246">
        <f>IF('Mkt Pen Veh-Mi'!Q11=0,1,1/((1-Fuel2ShrbyTech!Q12)/'Inputs 7&amp;8 SU'!$Q24+Fuel2ShrbyTech!Q12/'Inputs 7&amp;8 SU'!$W24))</f>
        <v>1</v>
      </c>
      <c r="R11" s="1246">
        <f>IF('Mkt Pen Veh-Mi'!R11=0,1,1/((1-Fuel2ShrbyTech!R12)/'Inputs 7&amp;8 SU'!$R24+Fuel2ShrbyTech!R12/'Inputs 7&amp;8 SU'!$X24))</f>
        <v>1</v>
      </c>
      <c r="S11" s="1247">
        <f>IF('Mkt Pen Veh-Mi'!S11=0,1,1/((1-Fuel2ShrbyTech!S12)/'Inputs 7&amp;8 SU'!$S24+Fuel2ShrbyTech!S12/'Inputs 7&amp;8 SU'!$Y24))</f>
        <v>1</v>
      </c>
      <c r="U11" s="1191">
        <f t="shared" si="13"/>
        <v>2009</v>
      </c>
      <c r="V11" s="1245">
        <f t="shared" si="14"/>
        <v>5.9278738513698928</v>
      </c>
      <c r="W11" s="1246">
        <f t="shared" si="15"/>
        <v>0</v>
      </c>
      <c r="X11" s="1246">
        <f t="shared" si="16"/>
        <v>0</v>
      </c>
      <c r="Y11" s="1246">
        <f t="shared" si="17"/>
        <v>0</v>
      </c>
      <c r="Z11" s="1246">
        <f t="shared" si="18"/>
        <v>0</v>
      </c>
      <c r="AA11" s="1247">
        <f t="shared" si="19"/>
        <v>0</v>
      </c>
      <c r="AB11" s="1245">
        <f t="shared" si="20"/>
        <v>5.9278738513698928</v>
      </c>
      <c r="AC11" s="1246">
        <f t="shared" si="21"/>
        <v>0</v>
      </c>
      <c r="AD11" s="1246">
        <f t="shared" si="22"/>
        <v>0</v>
      </c>
      <c r="AE11" s="1246">
        <f t="shared" si="23"/>
        <v>0</v>
      </c>
      <c r="AF11" s="1246">
        <f t="shared" si="24"/>
        <v>0</v>
      </c>
      <c r="AG11" s="1247">
        <f t="shared" si="25"/>
        <v>0</v>
      </c>
      <c r="AH11" s="1245">
        <f t="shared" si="26"/>
        <v>5.9278738513698928</v>
      </c>
      <c r="AI11" s="1246">
        <f t="shared" si="27"/>
        <v>0</v>
      </c>
      <c r="AJ11" s="1246">
        <f t="shared" si="28"/>
        <v>0</v>
      </c>
      <c r="AK11" s="1246">
        <f t="shared" si="29"/>
        <v>0</v>
      </c>
      <c r="AL11" s="1246">
        <f t="shared" si="30"/>
        <v>0</v>
      </c>
      <c r="AM11" s="1247">
        <f t="shared" si="31"/>
        <v>0</v>
      </c>
      <c r="AN11" s="1176">
        <v>2009</v>
      </c>
      <c r="AO11" s="1322">
        <f t="array" ref="AO11">1/SUMPRODUCT(IFERROR(1/V11:AA11,0),'Mkt Pen Veh-Mi'!B11:G11)</f>
        <v>5.9278738513698928</v>
      </c>
      <c r="AP11" s="1323">
        <f t="array" ref="AP11">1/SUMPRODUCT(IFERROR(1/AB11:AG11,0),'Mkt Pen Veh-Mi'!H11:M11)</f>
        <v>5.9278738513698928</v>
      </c>
      <c r="AQ11" s="1327">
        <f t="array" ref="AQ11">1/SUMPRODUCT(IFERROR(1/AH11:AM11,0),'Mkt Pen Veh-Mi'!N11:S11)</f>
        <v>5.9278738513698928</v>
      </c>
      <c r="AR11" s="1320">
        <v>2009</v>
      </c>
      <c r="AS11" s="1322">
        <f t="shared" si="32"/>
        <v>1</v>
      </c>
      <c r="AT11" s="1323">
        <f t="shared" si="33"/>
        <v>1</v>
      </c>
      <c r="AU11" s="1323">
        <f t="shared" si="34"/>
        <v>1</v>
      </c>
      <c r="AV11" s="1327">
        <v>1</v>
      </c>
    </row>
    <row r="12" spans="1:48" s="1176" customFormat="1" ht="15" x14ac:dyDescent="0.25">
      <c r="A12" s="1197">
        <v>2010</v>
      </c>
      <c r="B12" s="1248">
        <f>IF('Mkt Pen Veh-Mi'!B12=0,1,1/((1-Fuel2ShrbyTech!B13)/'Inputs 7&amp;8 Sleep'!$N25+Fuel2ShrbyTech!B13/'Inputs 7&amp;8 Sleep'!$T25))</f>
        <v>5.6529804659012148</v>
      </c>
      <c r="C12" s="1249">
        <f>IF('Mkt Pen Veh-Mi'!C12=0,1,1/((1-Fuel2ShrbyTech!C13)/'Inputs 7&amp;8 Sleep'!$O25+Fuel2ShrbyTech!C13/'Inputs 7&amp;8 Sleep'!$U25))</f>
        <v>1</v>
      </c>
      <c r="D12" s="1249">
        <f>IF('Mkt Pen Veh-Mi'!D12=0,1,1/((1-Fuel2ShrbyTech!D13)/'Inputs 7&amp;8 Sleep'!$P25+Fuel2ShrbyTech!D13/'Inputs 7&amp;8 Sleep'!$V25))</f>
        <v>1</v>
      </c>
      <c r="E12" s="1249">
        <f>IF('Mkt Pen Veh-Mi'!E12=0,1,1/((1-Fuel2ShrbyTech!E13)/'Inputs 7&amp;8 Sleep'!$Q25+Fuel2ShrbyTech!E13/'Inputs 7&amp;8 Sleep'!$W25))</f>
        <v>1</v>
      </c>
      <c r="F12" s="1249">
        <f>IF('Mkt Pen Veh-Mi'!F12=0,1,1/((1-Fuel2ShrbyTech!F13)/'Inputs 7&amp;8 Sleep'!$R25+Fuel2ShrbyTech!F13/'Inputs 7&amp;8 Sleep'!$X25))</f>
        <v>1</v>
      </c>
      <c r="G12" s="1250">
        <f>IF('Mkt Pen Veh-Mi'!G12=0,1,1/((1-Fuel2ShrbyTech!G13)/'Inputs 7&amp;8 Sleep'!$S25+Fuel2ShrbyTech!G13/'Inputs 7&amp;8 Sleep'!$Y25))</f>
        <v>1</v>
      </c>
      <c r="H12" s="1248">
        <f>IF('Mkt Pen Veh-Mi'!H12=0,1,1/((1-Fuel2ShrbyTech!H13)/'Inputs 7&amp;8 Day'!$N25+Fuel2ShrbyTech!H13/'Inputs 7&amp;8 Day'!$T25))</f>
        <v>5.6529804659012148</v>
      </c>
      <c r="I12" s="1249">
        <f>IF('Mkt Pen Veh-Mi'!I12=0,1,1/((1-Fuel2ShrbyTech!I13)/'Inputs 7&amp;8 Day'!$O25+Fuel2ShrbyTech!I13/'Inputs 7&amp;8 Day'!$U25))</f>
        <v>1</v>
      </c>
      <c r="J12" s="1249">
        <f>IF('Mkt Pen Veh-Mi'!J12=0,1,1/((1-Fuel2ShrbyTech!J13)/'Inputs 7&amp;8 Day'!$P25+Fuel2ShrbyTech!J13/'Inputs 7&amp;8 Day'!$V25))</f>
        <v>1</v>
      </c>
      <c r="K12" s="1249">
        <f>IF('Mkt Pen Veh-Mi'!K12=0,1,1/((1-Fuel2ShrbyTech!K13)/'Inputs 7&amp;8 Day'!$Q25+Fuel2ShrbyTech!K13/'Inputs 7&amp;8 Day'!$W25))</f>
        <v>1</v>
      </c>
      <c r="L12" s="1249">
        <f>IF('Mkt Pen Veh-Mi'!L12=0,1,1/((1-Fuel2ShrbyTech!L13)/'Inputs 7&amp;8 Day'!$R25+Fuel2ShrbyTech!L13/'Inputs 7&amp;8 Day'!$X25))</f>
        <v>1</v>
      </c>
      <c r="M12" s="1250">
        <f>IF('Mkt Pen Veh-Mi'!M12=0,1,1/((1-Fuel2ShrbyTech!M13)/'Inputs 7&amp;8 Day'!$S25+Fuel2ShrbyTech!M13/'Inputs 7&amp;8 Day'!$Y25))</f>
        <v>1</v>
      </c>
      <c r="N12" s="1248">
        <f>IF('Mkt Pen Veh-Mi'!N12=0,1,1/((1-Fuel2ShrbyTech!N13)/'Inputs 7&amp;8 SU'!$N25+Fuel2ShrbyTech!N13/'Inputs 7&amp;8 SU'!$T25))</f>
        <v>5.6529804659012148</v>
      </c>
      <c r="O12" s="1249">
        <f>IF('Mkt Pen Veh-Mi'!O12=0,1,1/((1-Fuel2ShrbyTech!O13)/'Inputs 7&amp;8 SU'!$O25+Fuel2ShrbyTech!O13/'Inputs 7&amp;8 SU'!$U25))</f>
        <v>1</v>
      </c>
      <c r="P12" s="1249">
        <f>IF('Mkt Pen Veh-Mi'!P12=0,1,1/((1-Fuel2ShrbyTech!P13)/'Inputs 7&amp;8 SU'!$P25+Fuel2ShrbyTech!P13/'Inputs 7&amp;8 SU'!$V25))</f>
        <v>1</v>
      </c>
      <c r="Q12" s="1249">
        <f>IF('Mkt Pen Veh-Mi'!Q12=0,1,1/((1-Fuel2ShrbyTech!Q13)/'Inputs 7&amp;8 SU'!$Q25+Fuel2ShrbyTech!Q13/'Inputs 7&amp;8 SU'!$W25))</f>
        <v>1</v>
      </c>
      <c r="R12" s="1249">
        <f>IF('Mkt Pen Veh-Mi'!R12=0,1,1/((1-Fuel2ShrbyTech!R13)/'Inputs 7&amp;8 SU'!$R25+Fuel2ShrbyTech!R13/'Inputs 7&amp;8 SU'!$X25))</f>
        <v>1</v>
      </c>
      <c r="S12" s="1250">
        <f>IF('Mkt Pen Veh-Mi'!S12=0,1,1/((1-Fuel2ShrbyTech!S13)/'Inputs 7&amp;8 SU'!$S25+Fuel2ShrbyTech!S13/'Inputs 7&amp;8 SU'!$Y25))</f>
        <v>1</v>
      </c>
      <c r="U12" s="1197">
        <f t="shared" si="13"/>
        <v>2010</v>
      </c>
      <c r="V12" s="1248">
        <f t="shared" si="14"/>
        <v>5.6529804659012148</v>
      </c>
      <c r="W12" s="1249">
        <f t="shared" si="15"/>
        <v>0</v>
      </c>
      <c r="X12" s="1249">
        <f t="shared" si="16"/>
        <v>0</v>
      </c>
      <c r="Y12" s="1249">
        <f t="shared" si="17"/>
        <v>0</v>
      </c>
      <c r="Z12" s="1249">
        <f t="shared" si="18"/>
        <v>0</v>
      </c>
      <c r="AA12" s="1250">
        <f t="shared" si="19"/>
        <v>0</v>
      </c>
      <c r="AB12" s="1248">
        <f t="shared" si="20"/>
        <v>5.6529804659012148</v>
      </c>
      <c r="AC12" s="1249">
        <f t="shared" si="21"/>
        <v>0</v>
      </c>
      <c r="AD12" s="1249">
        <f t="shared" si="22"/>
        <v>0</v>
      </c>
      <c r="AE12" s="1249">
        <f t="shared" si="23"/>
        <v>0</v>
      </c>
      <c r="AF12" s="1249">
        <f t="shared" si="24"/>
        <v>0</v>
      </c>
      <c r="AG12" s="1250">
        <f t="shared" si="25"/>
        <v>0</v>
      </c>
      <c r="AH12" s="1248">
        <f t="shared" si="26"/>
        <v>5.6529804659012148</v>
      </c>
      <c r="AI12" s="1249">
        <f t="shared" si="27"/>
        <v>0</v>
      </c>
      <c r="AJ12" s="1249">
        <f t="shared" si="28"/>
        <v>0</v>
      </c>
      <c r="AK12" s="1249">
        <f t="shared" si="29"/>
        <v>0</v>
      </c>
      <c r="AL12" s="1249">
        <f t="shared" si="30"/>
        <v>0</v>
      </c>
      <c r="AM12" s="1250">
        <f t="shared" si="31"/>
        <v>0</v>
      </c>
      <c r="AN12" s="1176">
        <v>2010</v>
      </c>
      <c r="AO12" s="1322">
        <f t="array" ref="AO12">1/SUMPRODUCT(IFERROR(1/V12:AA12,0),'Mkt Pen Veh-Mi'!B12:G12)</f>
        <v>5.6529804659012148</v>
      </c>
      <c r="AP12" s="1323">
        <f t="array" ref="AP12">1/SUMPRODUCT(IFERROR(1/AB12:AG12,0),'Mkt Pen Veh-Mi'!H12:M12)</f>
        <v>5.6529804659012148</v>
      </c>
      <c r="AQ12" s="1327">
        <f t="array" ref="AQ12">1/SUMPRODUCT(IFERROR(1/AH12:AM12,0),'Mkt Pen Veh-Mi'!N12:S12)</f>
        <v>5.6529804659012148</v>
      </c>
      <c r="AR12" s="1320">
        <v>2010</v>
      </c>
      <c r="AS12" s="1322">
        <f t="shared" si="32"/>
        <v>1</v>
      </c>
      <c r="AT12" s="1323">
        <f t="shared" si="33"/>
        <v>1</v>
      </c>
      <c r="AU12" s="1323">
        <f t="shared" si="34"/>
        <v>1</v>
      </c>
      <c r="AV12" s="1327">
        <v>1</v>
      </c>
    </row>
    <row r="13" spans="1:48" s="1176" customFormat="1" ht="15" x14ac:dyDescent="0.25">
      <c r="A13" s="1191">
        <v>2011</v>
      </c>
      <c r="B13" s="1251">
        <f>IF('Mkt Pen Veh-Mi'!B13=0,1,1/((1-Fuel2ShrbyTech!B14)/'Inputs 7&amp;8 Sleep'!$N26+Fuel2ShrbyTech!B14/'Inputs 7&amp;8 Sleep'!$T26))</f>
        <v>5.7697883792198921</v>
      </c>
      <c r="C13" s="1252">
        <f>IF('Mkt Pen Veh-Mi'!C13=0,1,1/((1-Fuel2ShrbyTech!C14)/'Inputs 7&amp;8 Sleep'!$O26+Fuel2ShrbyTech!C14/'Inputs 7&amp;8 Sleep'!$U26))</f>
        <v>1</v>
      </c>
      <c r="D13" s="1252">
        <f>IF('Mkt Pen Veh-Mi'!D13=0,1,1/((1-Fuel2ShrbyTech!D14)/'Inputs 7&amp;8 Sleep'!$P26+Fuel2ShrbyTech!D14/'Inputs 7&amp;8 Sleep'!$V26))</f>
        <v>1</v>
      </c>
      <c r="E13" s="1252">
        <f>IF('Mkt Pen Veh-Mi'!E13=0,1,1/((1-Fuel2ShrbyTech!E14)/'Inputs 7&amp;8 Sleep'!$Q26+Fuel2ShrbyTech!E14/'Inputs 7&amp;8 Sleep'!$W26))</f>
        <v>1</v>
      </c>
      <c r="F13" s="1252">
        <f>IF('Mkt Pen Veh-Mi'!F13=0,1,1/((1-Fuel2ShrbyTech!F14)/'Inputs 7&amp;8 Sleep'!$R26+Fuel2ShrbyTech!F14/'Inputs 7&amp;8 Sleep'!$X26))</f>
        <v>1</v>
      </c>
      <c r="G13" s="1253">
        <f>IF('Mkt Pen Veh-Mi'!G13=0,1,1/((1-Fuel2ShrbyTech!G14)/'Inputs 7&amp;8 Sleep'!$S26+Fuel2ShrbyTech!G14/'Inputs 7&amp;8 Sleep'!$Y26))</f>
        <v>1</v>
      </c>
      <c r="H13" s="1251">
        <f>IF('Mkt Pen Veh-Mi'!H13=0,1,1/((1-Fuel2ShrbyTech!H14)/'Inputs 7&amp;8 Day'!$N26+Fuel2ShrbyTech!H14/'Inputs 7&amp;8 Day'!$T26))</f>
        <v>5.7697883792198921</v>
      </c>
      <c r="I13" s="1252">
        <f>IF('Mkt Pen Veh-Mi'!I13=0,1,1/((1-Fuel2ShrbyTech!I14)/'Inputs 7&amp;8 Day'!$O26+Fuel2ShrbyTech!I14/'Inputs 7&amp;8 Day'!$U26))</f>
        <v>1</v>
      </c>
      <c r="J13" s="1252">
        <f>IF('Mkt Pen Veh-Mi'!J13=0,1,1/((1-Fuel2ShrbyTech!J14)/'Inputs 7&amp;8 Day'!$P26+Fuel2ShrbyTech!J14/'Inputs 7&amp;8 Day'!$V26))</f>
        <v>1</v>
      </c>
      <c r="K13" s="1252">
        <f>IF('Mkt Pen Veh-Mi'!K13=0,1,1/((1-Fuel2ShrbyTech!K14)/'Inputs 7&amp;8 Day'!$Q26+Fuel2ShrbyTech!K14/'Inputs 7&amp;8 Day'!$W26))</f>
        <v>1</v>
      </c>
      <c r="L13" s="1252">
        <f>IF('Mkt Pen Veh-Mi'!L13=0,1,1/((1-Fuel2ShrbyTech!L14)/'Inputs 7&amp;8 Day'!$R26+Fuel2ShrbyTech!L14/'Inputs 7&amp;8 Day'!$X26))</f>
        <v>1</v>
      </c>
      <c r="M13" s="1253">
        <f>IF('Mkt Pen Veh-Mi'!M13=0,1,1/((1-Fuel2ShrbyTech!M14)/'Inputs 7&amp;8 Day'!$S26+Fuel2ShrbyTech!M14/'Inputs 7&amp;8 Day'!$Y26))</f>
        <v>1</v>
      </c>
      <c r="N13" s="1251">
        <f>IF('Mkt Pen Veh-Mi'!N13=0,1,1/((1-Fuel2ShrbyTech!N14)/'Inputs 7&amp;8 SU'!$N26+Fuel2ShrbyTech!N14/'Inputs 7&amp;8 SU'!$T26))</f>
        <v>5.7697883792198921</v>
      </c>
      <c r="O13" s="1252">
        <f>IF('Mkt Pen Veh-Mi'!O13=0,1,1/((1-Fuel2ShrbyTech!O14)/'Inputs 7&amp;8 SU'!$O26+Fuel2ShrbyTech!O14/'Inputs 7&amp;8 SU'!$U26))</f>
        <v>1</v>
      </c>
      <c r="P13" s="1252">
        <f>IF('Mkt Pen Veh-Mi'!P13=0,1,1/((1-Fuel2ShrbyTech!P14)/'Inputs 7&amp;8 SU'!$P26+Fuel2ShrbyTech!P14/'Inputs 7&amp;8 SU'!$V26))</f>
        <v>1</v>
      </c>
      <c r="Q13" s="1252">
        <f>IF('Mkt Pen Veh-Mi'!Q13=0,1,1/((1-Fuel2ShrbyTech!Q14)/'Inputs 7&amp;8 SU'!$Q26+Fuel2ShrbyTech!Q14/'Inputs 7&amp;8 SU'!$W26))</f>
        <v>1</v>
      </c>
      <c r="R13" s="1252">
        <f>IF('Mkt Pen Veh-Mi'!R13=0,1,1/((1-Fuel2ShrbyTech!R14)/'Inputs 7&amp;8 SU'!$R26+Fuel2ShrbyTech!R14/'Inputs 7&amp;8 SU'!$X26))</f>
        <v>1</v>
      </c>
      <c r="S13" s="1253">
        <f>IF('Mkt Pen Veh-Mi'!S13=0,1,1/((1-Fuel2ShrbyTech!S14)/'Inputs 7&amp;8 SU'!$S26+Fuel2ShrbyTech!S14/'Inputs 7&amp;8 SU'!$Y26))</f>
        <v>1</v>
      </c>
      <c r="U13" s="1191">
        <f t="shared" si="13"/>
        <v>2011</v>
      </c>
      <c r="V13" s="1251">
        <f t="shared" si="14"/>
        <v>5.7697883792198921</v>
      </c>
      <c r="W13" s="1252">
        <f t="shared" si="15"/>
        <v>0</v>
      </c>
      <c r="X13" s="1252">
        <f t="shared" si="16"/>
        <v>0</v>
      </c>
      <c r="Y13" s="1252">
        <f t="shared" si="17"/>
        <v>0</v>
      </c>
      <c r="Z13" s="1252">
        <f t="shared" si="18"/>
        <v>0</v>
      </c>
      <c r="AA13" s="1253">
        <f t="shared" si="19"/>
        <v>0</v>
      </c>
      <c r="AB13" s="1251">
        <f t="shared" si="20"/>
        <v>5.7697883792198921</v>
      </c>
      <c r="AC13" s="1252">
        <f t="shared" si="21"/>
        <v>0</v>
      </c>
      <c r="AD13" s="1252">
        <f t="shared" si="22"/>
        <v>0</v>
      </c>
      <c r="AE13" s="1252">
        <f t="shared" si="23"/>
        <v>0</v>
      </c>
      <c r="AF13" s="1252">
        <f t="shared" si="24"/>
        <v>0</v>
      </c>
      <c r="AG13" s="1253">
        <f t="shared" si="25"/>
        <v>0</v>
      </c>
      <c r="AH13" s="1251">
        <f t="shared" si="26"/>
        <v>5.7697883792198921</v>
      </c>
      <c r="AI13" s="1252">
        <f t="shared" si="27"/>
        <v>0</v>
      </c>
      <c r="AJ13" s="1252">
        <f t="shared" si="28"/>
        <v>0</v>
      </c>
      <c r="AK13" s="1252">
        <f t="shared" si="29"/>
        <v>0</v>
      </c>
      <c r="AL13" s="1252">
        <f t="shared" si="30"/>
        <v>0</v>
      </c>
      <c r="AM13" s="1253">
        <f t="shared" si="31"/>
        <v>0</v>
      </c>
      <c r="AN13" s="1176">
        <v>2011</v>
      </c>
      <c r="AO13" s="1322">
        <f t="array" ref="AO13">1/SUMPRODUCT(IFERROR(1/V13:AA13,0),'Mkt Pen Veh-Mi'!B13:G13)</f>
        <v>5.7697883792198921</v>
      </c>
      <c r="AP13" s="1323">
        <f t="array" ref="AP13">1/SUMPRODUCT(IFERROR(1/AB13:AG13,0),'Mkt Pen Veh-Mi'!H13:M13)</f>
        <v>5.7697883792198921</v>
      </c>
      <c r="AQ13" s="1327">
        <f t="array" ref="AQ13">1/SUMPRODUCT(IFERROR(1/AH13:AM13,0),'Mkt Pen Veh-Mi'!N13:S13)</f>
        <v>5.7697883792198921</v>
      </c>
      <c r="AR13" s="1320">
        <v>2011</v>
      </c>
      <c r="AS13" s="1322">
        <f t="shared" si="32"/>
        <v>1</v>
      </c>
      <c r="AT13" s="1323">
        <f t="shared" si="33"/>
        <v>1</v>
      </c>
      <c r="AU13" s="1323">
        <f t="shared" si="34"/>
        <v>1</v>
      </c>
      <c r="AV13" s="1327">
        <v>1</v>
      </c>
    </row>
    <row r="14" spans="1:48" s="1176" customFormat="1" ht="15" x14ac:dyDescent="0.25">
      <c r="A14" s="1191">
        <v>2012</v>
      </c>
      <c r="B14" s="1245">
        <f>IF('Mkt Pen Veh-Mi'!B14=0,1,1/((1-Fuel2ShrbyTech!B15)/'Inputs 7&amp;8 Sleep'!$N27+Fuel2ShrbyTech!B15/'Inputs 7&amp;8 Sleep'!$T27))</f>
        <v>5.8156338758937807</v>
      </c>
      <c r="C14" s="1246">
        <f>IF('Mkt Pen Veh-Mi'!C14=0,1,1/((1-Fuel2ShrbyTech!C15)/'Inputs 7&amp;8 Sleep'!$O27+Fuel2ShrbyTech!C15/'Inputs 7&amp;8 Sleep'!$U27))</f>
        <v>1</v>
      </c>
      <c r="D14" s="1246">
        <f>IF('Mkt Pen Veh-Mi'!D14=0,1,1/((1-Fuel2ShrbyTech!D15)/'Inputs 7&amp;8 Sleep'!$P27+Fuel2ShrbyTech!D15/'Inputs 7&amp;8 Sleep'!$V27))</f>
        <v>1</v>
      </c>
      <c r="E14" s="1246">
        <f>IF('Mkt Pen Veh-Mi'!E14=0,1,1/((1-Fuel2ShrbyTech!E15)/'Inputs 7&amp;8 Sleep'!$Q27+Fuel2ShrbyTech!E15/'Inputs 7&amp;8 Sleep'!$W27))</f>
        <v>1</v>
      </c>
      <c r="F14" s="1246">
        <f>IF('Mkt Pen Veh-Mi'!F14=0,1,1/((1-Fuel2ShrbyTech!F15)/'Inputs 7&amp;8 Sleep'!$R27+Fuel2ShrbyTech!F15/'Inputs 7&amp;8 Sleep'!$X27))</f>
        <v>1</v>
      </c>
      <c r="G14" s="1247">
        <f>IF('Mkt Pen Veh-Mi'!G14=0,1,1/((1-Fuel2ShrbyTech!G15)/'Inputs 7&amp;8 Sleep'!$S27+Fuel2ShrbyTech!G15/'Inputs 7&amp;8 Sleep'!$Y27))</f>
        <v>1</v>
      </c>
      <c r="H14" s="1245">
        <f>IF('Mkt Pen Veh-Mi'!H14=0,1,1/((1-Fuel2ShrbyTech!H15)/'Inputs 7&amp;8 Day'!$N27+Fuel2ShrbyTech!H15/'Inputs 7&amp;8 Day'!$T27))</f>
        <v>5.8156338758937807</v>
      </c>
      <c r="I14" s="1246">
        <f>IF('Mkt Pen Veh-Mi'!I14=0,1,1/((1-Fuel2ShrbyTech!I15)/'Inputs 7&amp;8 Day'!$O27+Fuel2ShrbyTech!I15/'Inputs 7&amp;8 Day'!$U27))</f>
        <v>1</v>
      </c>
      <c r="J14" s="1246">
        <f>IF('Mkt Pen Veh-Mi'!J14=0,1,1/((1-Fuel2ShrbyTech!J15)/'Inputs 7&amp;8 Day'!$P27+Fuel2ShrbyTech!J15/'Inputs 7&amp;8 Day'!$V27))</f>
        <v>1</v>
      </c>
      <c r="K14" s="1246">
        <f>IF('Mkt Pen Veh-Mi'!K14=0,1,1/((1-Fuel2ShrbyTech!K15)/'Inputs 7&amp;8 Day'!$Q27+Fuel2ShrbyTech!K15/'Inputs 7&amp;8 Day'!$W27))</f>
        <v>1</v>
      </c>
      <c r="L14" s="1246">
        <f>IF('Mkt Pen Veh-Mi'!L14=0,1,1/((1-Fuel2ShrbyTech!L15)/'Inputs 7&amp;8 Day'!$R27+Fuel2ShrbyTech!L15/'Inputs 7&amp;8 Day'!$X27))</f>
        <v>1</v>
      </c>
      <c r="M14" s="1247">
        <f>IF('Mkt Pen Veh-Mi'!M14=0,1,1/((1-Fuel2ShrbyTech!M15)/'Inputs 7&amp;8 Day'!$S27+Fuel2ShrbyTech!M15/'Inputs 7&amp;8 Day'!$Y27))</f>
        <v>1</v>
      </c>
      <c r="N14" s="1245">
        <f>IF('Mkt Pen Veh-Mi'!N14=0,1,1/((1-Fuel2ShrbyTech!N15)/'Inputs 7&amp;8 SU'!$N27+Fuel2ShrbyTech!N15/'Inputs 7&amp;8 SU'!$T27))</f>
        <v>5.8156338758937807</v>
      </c>
      <c r="O14" s="1246">
        <f>IF('Mkt Pen Veh-Mi'!O14=0,1,1/((1-Fuel2ShrbyTech!O15)/'Inputs 7&amp;8 SU'!$O27+Fuel2ShrbyTech!O15/'Inputs 7&amp;8 SU'!$U27))</f>
        <v>1</v>
      </c>
      <c r="P14" s="1246">
        <f>IF('Mkt Pen Veh-Mi'!P14=0,1,1/((1-Fuel2ShrbyTech!P15)/'Inputs 7&amp;8 SU'!$P27+Fuel2ShrbyTech!P15/'Inputs 7&amp;8 SU'!$V27))</f>
        <v>1</v>
      </c>
      <c r="Q14" s="1246">
        <f>IF('Mkt Pen Veh-Mi'!Q14=0,1,1/((1-Fuel2ShrbyTech!Q15)/'Inputs 7&amp;8 SU'!$Q27+Fuel2ShrbyTech!Q15/'Inputs 7&amp;8 SU'!$W27))</f>
        <v>1</v>
      </c>
      <c r="R14" s="1246">
        <f>IF('Mkt Pen Veh-Mi'!R14=0,1,1/((1-Fuel2ShrbyTech!R15)/'Inputs 7&amp;8 SU'!$R27+Fuel2ShrbyTech!R15/'Inputs 7&amp;8 SU'!$X27))</f>
        <v>1</v>
      </c>
      <c r="S14" s="1247">
        <f>IF('Mkt Pen Veh-Mi'!S14=0,1,1/((1-Fuel2ShrbyTech!S15)/'Inputs 7&amp;8 SU'!$S27+Fuel2ShrbyTech!S15/'Inputs 7&amp;8 SU'!$Y27))</f>
        <v>1</v>
      </c>
      <c r="U14" s="1191">
        <f t="shared" si="13"/>
        <v>2012</v>
      </c>
      <c r="V14" s="1245">
        <f t="shared" si="14"/>
        <v>5.8156338758937807</v>
      </c>
      <c r="W14" s="1246">
        <f t="shared" si="15"/>
        <v>0</v>
      </c>
      <c r="X14" s="1246">
        <f t="shared" si="16"/>
        <v>0</v>
      </c>
      <c r="Y14" s="1246">
        <f t="shared" si="17"/>
        <v>0</v>
      </c>
      <c r="Z14" s="1246">
        <f t="shared" si="18"/>
        <v>0</v>
      </c>
      <c r="AA14" s="1247">
        <f t="shared" si="19"/>
        <v>0</v>
      </c>
      <c r="AB14" s="1245">
        <f t="shared" si="20"/>
        <v>5.8156338758937807</v>
      </c>
      <c r="AC14" s="1246">
        <f t="shared" si="21"/>
        <v>0</v>
      </c>
      <c r="AD14" s="1246">
        <f t="shared" si="22"/>
        <v>0</v>
      </c>
      <c r="AE14" s="1246">
        <f t="shared" si="23"/>
        <v>0</v>
      </c>
      <c r="AF14" s="1246">
        <f t="shared" si="24"/>
        <v>0</v>
      </c>
      <c r="AG14" s="1247">
        <f t="shared" si="25"/>
        <v>0</v>
      </c>
      <c r="AH14" s="1245">
        <f t="shared" si="26"/>
        <v>5.8156338758937807</v>
      </c>
      <c r="AI14" s="1246">
        <f t="shared" si="27"/>
        <v>0</v>
      </c>
      <c r="AJ14" s="1246">
        <f t="shared" si="28"/>
        <v>0</v>
      </c>
      <c r="AK14" s="1246">
        <f t="shared" si="29"/>
        <v>0</v>
      </c>
      <c r="AL14" s="1246">
        <f t="shared" si="30"/>
        <v>0</v>
      </c>
      <c r="AM14" s="1247">
        <f t="shared" si="31"/>
        <v>0</v>
      </c>
      <c r="AN14" s="1176">
        <v>2012</v>
      </c>
      <c r="AO14" s="1322">
        <f t="array" ref="AO14">1/SUMPRODUCT(IFERROR(1/V14:AA14,0),'Mkt Pen Veh-Mi'!B14:G14)</f>
        <v>5.8156338758937807</v>
      </c>
      <c r="AP14" s="1323">
        <f t="array" ref="AP14">1/SUMPRODUCT(IFERROR(1/AB14:AG14,0),'Mkt Pen Veh-Mi'!H14:M14)</f>
        <v>5.8156338758937807</v>
      </c>
      <c r="AQ14" s="1327">
        <f t="array" ref="AQ14">1/SUMPRODUCT(IFERROR(1/AH14:AM14,0),'Mkt Pen Veh-Mi'!N14:S14)</f>
        <v>5.8156338758937807</v>
      </c>
      <c r="AR14" s="1320">
        <v>2012</v>
      </c>
      <c r="AS14" s="1322">
        <f t="shared" si="32"/>
        <v>1</v>
      </c>
      <c r="AT14" s="1323">
        <f t="shared" si="33"/>
        <v>1</v>
      </c>
      <c r="AU14" s="1323">
        <f t="shared" si="34"/>
        <v>1</v>
      </c>
      <c r="AV14" s="1327">
        <v>1</v>
      </c>
    </row>
    <row r="15" spans="1:48" s="1176" customFormat="1" ht="15" x14ac:dyDescent="0.25">
      <c r="A15" s="1191">
        <v>2013</v>
      </c>
      <c r="B15" s="1245">
        <f>IF('Mkt Pen Veh-Mi'!B15=0,1,1/((1-Fuel2ShrbyTech!B16)/'Inputs 7&amp;8 Sleep'!$N28+Fuel2ShrbyTech!B16/'Inputs 7&amp;8 Sleep'!$T28))</f>
        <v>5.9244625288706905</v>
      </c>
      <c r="C15" s="1246">
        <f>IF('Mkt Pen Veh-Mi'!C15=0,1,1/((1-Fuel2ShrbyTech!C16)/'Inputs 7&amp;8 Sleep'!$O28+Fuel2ShrbyTech!C16/'Inputs 7&amp;8 Sleep'!$U28))</f>
        <v>1</v>
      </c>
      <c r="D15" s="1246">
        <f>IF('Mkt Pen Veh-Mi'!D15=0,1,1/((1-Fuel2ShrbyTech!D16)/'Inputs 7&amp;8 Sleep'!$P28+Fuel2ShrbyTech!D16/'Inputs 7&amp;8 Sleep'!$V28))</f>
        <v>1</v>
      </c>
      <c r="E15" s="1246">
        <f>IF('Mkt Pen Veh-Mi'!E15=0,1,1/((1-Fuel2ShrbyTech!E16)/'Inputs 7&amp;8 Sleep'!$Q28+Fuel2ShrbyTech!E16/'Inputs 7&amp;8 Sleep'!$W28))</f>
        <v>1</v>
      </c>
      <c r="F15" s="1246">
        <f>IF('Mkt Pen Veh-Mi'!F15=0,1,1/((1-Fuel2ShrbyTech!F16)/'Inputs 7&amp;8 Sleep'!$R28+Fuel2ShrbyTech!F16/'Inputs 7&amp;8 Sleep'!$X28))</f>
        <v>1</v>
      </c>
      <c r="G15" s="1247">
        <f>IF('Mkt Pen Veh-Mi'!G15=0,1,1/((1-Fuel2ShrbyTech!G16)/'Inputs 7&amp;8 Sleep'!$S28+Fuel2ShrbyTech!G16/'Inputs 7&amp;8 Sleep'!$Y28))</f>
        <v>1</v>
      </c>
      <c r="H15" s="1245">
        <f>IF('Mkt Pen Veh-Mi'!H15=0,1,1/((1-Fuel2ShrbyTech!H16)/'Inputs 7&amp;8 Day'!$N28+Fuel2ShrbyTech!H16/'Inputs 7&amp;8 Day'!$T28))</f>
        <v>5.9244625288706905</v>
      </c>
      <c r="I15" s="1246">
        <f>IF('Mkt Pen Veh-Mi'!I15=0,1,1/((1-Fuel2ShrbyTech!I16)/'Inputs 7&amp;8 Day'!$O28+Fuel2ShrbyTech!I16/'Inputs 7&amp;8 Day'!$U28))</f>
        <v>1</v>
      </c>
      <c r="J15" s="1246">
        <f>IF('Mkt Pen Veh-Mi'!J15=0,1,1/((1-Fuel2ShrbyTech!J16)/'Inputs 7&amp;8 Day'!$P28+Fuel2ShrbyTech!J16/'Inputs 7&amp;8 Day'!$V28))</f>
        <v>1</v>
      </c>
      <c r="K15" s="1246">
        <f>IF('Mkt Pen Veh-Mi'!K15=0,1,1/((1-Fuel2ShrbyTech!K16)/'Inputs 7&amp;8 Day'!$Q28+Fuel2ShrbyTech!K16/'Inputs 7&amp;8 Day'!$W28))</f>
        <v>1</v>
      </c>
      <c r="L15" s="1246">
        <f>IF('Mkt Pen Veh-Mi'!L15=0,1,1/((1-Fuel2ShrbyTech!L16)/'Inputs 7&amp;8 Day'!$R28+Fuel2ShrbyTech!L16/'Inputs 7&amp;8 Day'!$X28))</f>
        <v>1</v>
      </c>
      <c r="M15" s="1247">
        <f>IF('Mkt Pen Veh-Mi'!M15=0,1,1/((1-Fuel2ShrbyTech!M16)/'Inputs 7&amp;8 Day'!$S28+Fuel2ShrbyTech!M16/'Inputs 7&amp;8 Day'!$Y28))</f>
        <v>1</v>
      </c>
      <c r="N15" s="1245">
        <f>IF('Mkt Pen Veh-Mi'!N15=0,1,1/((1-Fuel2ShrbyTech!N16)/'Inputs 7&amp;8 SU'!$N28+Fuel2ShrbyTech!N16/'Inputs 7&amp;8 SU'!$T28))</f>
        <v>5.9244625288706905</v>
      </c>
      <c r="O15" s="1246">
        <f>IF('Mkt Pen Veh-Mi'!O15=0,1,1/((1-Fuel2ShrbyTech!O16)/'Inputs 7&amp;8 SU'!$O28+Fuel2ShrbyTech!O16/'Inputs 7&amp;8 SU'!$U28))</f>
        <v>1</v>
      </c>
      <c r="P15" s="1246">
        <f>IF('Mkt Pen Veh-Mi'!P15=0,1,1/((1-Fuel2ShrbyTech!P16)/'Inputs 7&amp;8 SU'!$P28+Fuel2ShrbyTech!P16/'Inputs 7&amp;8 SU'!$V28))</f>
        <v>1</v>
      </c>
      <c r="Q15" s="1246">
        <f>IF('Mkt Pen Veh-Mi'!Q15=0,1,1/((1-Fuel2ShrbyTech!Q16)/'Inputs 7&amp;8 SU'!$Q28+Fuel2ShrbyTech!Q16/'Inputs 7&amp;8 SU'!$W28))</f>
        <v>1</v>
      </c>
      <c r="R15" s="1246">
        <f>IF('Mkt Pen Veh-Mi'!R15=0,1,1/((1-Fuel2ShrbyTech!R16)/'Inputs 7&amp;8 SU'!$R28+Fuel2ShrbyTech!R16/'Inputs 7&amp;8 SU'!$X28))</f>
        <v>1</v>
      </c>
      <c r="S15" s="1247">
        <f>IF('Mkt Pen Veh-Mi'!S15=0,1,1/((1-Fuel2ShrbyTech!S16)/'Inputs 7&amp;8 SU'!$S28+Fuel2ShrbyTech!S16/'Inputs 7&amp;8 SU'!$Y28))</f>
        <v>1</v>
      </c>
      <c r="U15" s="1191">
        <f t="shared" si="13"/>
        <v>2013</v>
      </c>
      <c r="V15" s="1245">
        <f t="shared" si="14"/>
        <v>5.9244625288706905</v>
      </c>
      <c r="W15" s="1246">
        <f t="shared" si="15"/>
        <v>0</v>
      </c>
      <c r="X15" s="1246">
        <f t="shared" si="16"/>
        <v>0</v>
      </c>
      <c r="Y15" s="1246">
        <f t="shared" si="17"/>
        <v>0</v>
      </c>
      <c r="Z15" s="1246">
        <f t="shared" si="18"/>
        <v>0</v>
      </c>
      <c r="AA15" s="1247">
        <f t="shared" si="19"/>
        <v>0</v>
      </c>
      <c r="AB15" s="1245">
        <f t="shared" si="20"/>
        <v>5.9244625288706905</v>
      </c>
      <c r="AC15" s="1246">
        <f t="shared" si="21"/>
        <v>0</v>
      </c>
      <c r="AD15" s="1246">
        <f t="shared" si="22"/>
        <v>0</v>
      </c>
      <c r="AE15" s="1246">
        <f t="shared" si="23"/>
        <v>0</v>
      </c>
      <c r="AF15" s="1246">
        <f t="shared" si="24"/>
        <v>0</v>
      </c>
      <c r="AG15" s="1247">
        <f t="shared" si="25"/>
        <v>0</v>
      </c>
      <c r="AH15" s="1245">
        <f t="shared" si="26"/>
        <v>5.9244625288706905</v>
      </c>
      <c r="AI15" s="1246">
        <f t="shared" si="27"/>
        <v>0</v>
      </c>
      <c r="AJ15" s="1246">
        <f t="shared" si="28"/>
        <v>0</v>
      </c>
      <c r="AK15" s="1246">
        <f t="shared" si="29"/>
        <v>0</v>
      </c>
      <c r="AL15" s="1246">
        <f t="shared" si="30"/>
        <v>0</v>
      </c>
      <c r="AM15" s="1247">
        <f t="shared" si="31"/>
        <v>0</v>
      </c>
      <c r="AN15" s="1176">
        <v>2013</v>
      </c>
      <c r="AO15" s="1322">
        <f t="array" ref="AO15">1/SUMPRODUCT(IFERROR(1/V15:AA15,0),'Mkt Pen Veh-Mi'!B15:G15)</f>
        <v>5.9244625288706905</v>
      </c>
      <c r="AP15" s="1323">
        <f t="array" ref="AP15">1/SUMPRODUCT(IFERROR(1/AB15:AG15,0),'Mkt Pen Veh-Mi'!H15:M15)</f>
        <v>5.9244625288706905</v>
      </c>
      <c r="AQ15" s="1327">
        <f t="array" ref="AQ15">1/SUMPRODUCT(IFERROR(1/AH15:AM15,0),'Mkt Pen Veh-Mi'!N15:S15)</f>
        <v>5.9244625288706905</v>
      </c>
      <c r="AR15" s="1320">
        <v>2013</v>
      </c>
      <c r="AS15" s="1322">
        <f t="shared" si="32"/>
        <v>1</v>
      </c>
      <c r="AT15" s="1323">
        <f t="shared" si="33"/>
        <v>1</v>
      </c>
      <c r="AU15" s="1323">
        <f t="shared" si="34"/>
        <v>1</v>
      </c>
      <c r="AV15" s="1327">
        <v>1</v>
      </c>
    </row>
    <row r="16" spans="1:48" s="1176" customFormat="1" ht="15" x14ac:dyDescent="0.25">
      <c r="A16" s="1191">
        <v>2014</v>
      </c>
      <c r="B16" s="1245">
        <f>IF('Mkt Pen Veh-Mi'!B16=0,1,1/((1-Fuel2ShrbyTech!B17)/'Inputs 7&amp;8 Sleep'!$N29+Fuel2ShrbyTech!B17/'Inputs 7&amp;8 Sleep'!$T29))</f>
        <v>6.0583595281689906</v>
      </c>
      <c r="C16" s="1246">
        <f>IF('Mkt Pen Veh-Mi'!C16=0,1,1/((1-Fuel2ShrbyTech!C17)/'Inputs 7&amp;8 Sleep'!$O29+Fuel2ShrbyTech!C17/'Inputs 7&amp;8 Sleep'!$U29))</f>
        <v>1</v>
      </c>
      <c r="D16" s="1246">
        <f>IF('Mkt Pen Veh-Mi'!D16=0,1,1/((1-Fuel2ShrbyTech!D17)/'Inputs 7&amp;8 Sleep'!$P29+Fuel2ShrbyTech!D17/'Inputs 7&amp;8 Sleep'!$V29))</f>
        <v>1</v>
      </c>
      <c r="E16" s="1246">
        <f>IF('Mkt Pen Veh-Mi'!E16=0,1,1/((1-Fuel2ShrbyTech!E17)/'Inputs 7&amp;8 Sleep'!$Q29+Fuel2ShrbyTech!E17/'Inputs 7&amp;8 Sleep'!$W29))</f>
        <v>1</v>
      </c>
      <c r="F16" s="1246">
        <f>IF('Mkt Pen Veh-Mi'!F16=0,1,1/((1-Fuel2ShrbyTech!F17)/'Inputs 7&amp;8 Sleep'!$R29+Fuel2ShrbyTech!F17/'Inputs 7&amp;8 Sleep'!$X29))</f>
        <v>1</v>
      </c>
      <c r="G16" s="1247">
        <f>IF('Mkt Pen Veh-Mi'!G16=0,1,1/((1-Fuel2ShrbyTech!G17)/'Inputs 7&amp;8 Sleep'!$S29+Fuel2ShrbyTech!G17/'Inputs 7&amp;8 Sleep'!$Y29))</f>
        <v>1</v>
      </c>
      <c r="H16" s="1245">
        <f>IF('Mkt Pen Veh-Mi'!H16=0,1,1/((1-Fuel2ShrbyTech!H17)/'Inputs 7&amp;8 Day'!$N29+Fuel2ShrbyTech!H17/'Inputs 7&amp;8 Day'!$T29))</f>
        <v>6.0583595281689906</v>
      </c>
      <c r="I16" s="1246">
        <f>IF('Mkt Pen Veh-Mi'!I16=0,1,1/((1-Fuel2ShrbyTech!I17)/'Inputs 7&amp;8 Day'!$O29+Fuel2ShrbyTech!I17/'Inputs 7&amp;8 Day'!$U29))</f>
        <v>1</v>
      </c>
      <c r="J16" s="1246">
        <f>IF('Mkt Pen Veh-Mi'!J16=0,1,1/((1-Fuel2ShrbyTech!J17)/'Inputs 7&amp;8 Day'!$P29+Fuel2ShrbyTech!J17/'Inputs 7&amp;8 Day'!$V29))</f>
        <v>1</v>
      </c>
      <c r="K16" s="1246">
        <f>IF('Mkt Pen Veh-Mi'!K16=0,1,1/((1-Fuel2ShrbyTech!K17)/'Inputs 7&amp;8 Day'!$Q29+Fuel2ShrbyTech!K17/'Inputs 7&amp;8 Day'!$W29))</f>
        <v>1</v>
      </c>
      <c r="L16" s="1246">
        <f>IF('Mkt Pen Veh-Mi'!L16=0,1,1/((1-Fuel2ShrbyTech!L17)/'Inputs 7&amp;8 Day'!$R29+Fuel2ShrbyTech!L17/'Inputs 7&amp;8 Day'!$X29))</f>
        <v>1</v>
      </c>
      <c r="M16" s="1247">
        <f>IF('Mkt Pen Veh-Mi'!M16=0,1,1/((1-Fuel2ShrbyTech!M17)/'Inputs 7&amp;8 Day'!$S29+Fuel2ShrbyTech!M17/'Inputs 7&amp;8 Day'!$Y29))</f>
        <v>1</v>
      </c>
      <c r="N16" s="1245">
        <f>IF('Mkt Pen Veh-Mi'!N16=0,1,1/((1-Fuel2ShrbyTech!N17)/'Inputs 7&amp;8 SU'!$N29+Fuel2ShrbyTech!N17/'Inputs 7&amp;8 SU'!$T29))</f>
        <v>6.0583595281689906</v>
      </c>
      <c r="O16" s="1246">
        <f>IF('Mkt Pen Veh-Mi'!O16=0,1,1/((1-Fuel2ShrbyTech!O17)/'Inputs 7&amp;8 SU'!$O29+Fuel2ShrbyTech!O17/'Inputs 7&amp;8 SU'!$U29))</f>
        <v>1</v>
      </c>
      <c r="P16" s="1246">
        <f>IF('Mkt Pen Veh-Mi'!P16=0,1,1/((1-Fuel2ShrbyTech!P17)/'Inputs 7&amp;8 SU'!$P29+Fuel2ShrbyTech!P17/'Inputs 7&amp;8 SU'!$V29))</f>
        <v>1</v>
      </c>
      <c r="Q16" s="1246">
        <f>IF('Mkt Pen Veh-Mi'!Q16=0,1,1/((1-Fuel2ShrbyTech!Q17)/'Inputs 7&amp;8 SU'!$Q29+Fuel2ShrbyTech!Q17/'Inputs 7&amp;8 SU'!$W29))</f>
        <v>1</v>
      </c>
      <c r="R16" s="1246">
        <f>IF('Mkt Pen Veh-Mi'!R16=0,1,1/((1-Fuel2ShrbyTech!R17)/'Inputs 7&amp;8 SU'!$R29+Fuel2ShrbyTech!R17/'Inputs 7&amp;8 SU'!$X29))</f>
        <v>1</v>
      </c>
      <c r="S16" s="1247">
        <f>IF('Mkt Pen Veh-Mi'!S16=0,1,1/((1-Fuel2ShrbyTech!S17)/'Inputs 7&amp;8 SU'!$S29+Fuel2ShrbyTech!S17/'Inputs 7&amp;8 SU'!$Y29))</f>
        <v>1</v>
      </c>
      <c r="U16" s="1191">
        <f t="shared" si="13"/>
        <v>2014</v>
      </c>
      <c r="V16" s="1245">
        <f t="shared" si="14"/>
        <v>6.0583595281689906</v>
      </c>
      <c r="W16" s="1246">
        <f t="shared" si="15"/>
        <v>0</v>
      </c>
      <c r="X16" s="1246">
        <f t="shared" si="16"/>
        <v>0</v>
      </c>
      <c r="Y16" s="1246">
        <f t="shared" si="17"/>
        <v>0</v>
      </c>
      <c r="Z16" s="1246">
        <f t="shared" si="18"/>
        <v>0</v>
      </c>
      <c r="AA16" s="1247">
        <f t="shared" si="19"/>
        <v>0</v>
      </c>
      <c r="AB16" s="1245">
        <f t="shared" si="20"/>
        <v>6.0583595281689906</v>
      </c>
      <c r="AC16" s="1246">
        <f t="shared" si="21"/>
        <v>0</v>
      </c>
      <c r="AD16" s="1246">
        <f t="shared" si="22"/>
        <v>0</v>
      </c>
      <c r="AE16" s="1246">
        <f t="shared" si="23"/>
        <v>0</v>
      </c>
      <c r="AF16" s="1246">
        <f t="shared" si="24"/>
        <v>0</v>
      </c>
      <c r="AG16" s="1247">
        <f t="shared" si="25"/>
        <v>0</v>
      </c>
      <c r="AH16" s="1245">
        <f t="shared" si="26"/>
        <v>6.0583595281689906</v>
      </c>
      <c r="AI16" s="1246">
        <f t="shared" si="27"/>
        <v>0</v>
      </c>
      <c r="AJ16" s="1246">
        <f t="shared" si="28"/>
        <v>0</v>
      </c>
      <c r="AK16" s="1246">
        <f t="shared" si="29"/>
        <v>0</v>
      </c>
      <c r="AL16" s="1246">
        <f t="shared" si="30"/>
        <v>0</v>
      </c>
      <c r="AM16" s="1247">
        <f t="shared" si="31"/>
        <v>0</v>
      </c>
      <c r="AN16" s="1176">
        <v>2014</v>
      </c>
      <c r="AO16" s="1322">
        <f t="array" ref="AO16">1/SUMPRODUCT(IFERROR(1/V16:AA16,0),'Mkt Pen Veh-Mi'!B16:G16)</f>
        <v>6.0583595281689906</v>
      </c>
      <c r="AP16" s="1323">
        <f t="array" ref="AP16">1/SUMPRODUCT(IFERROR(1/AB16:AG16,0),'Mkt Pen Veh-Mi'!H16:M16)</f>
        <v>6.0583595281689906</v>
      </c>
      <c r="AQ16" s="1327">
        <f t="array" ref="AQ16">1/SUMPRODUCT(IFERROR(1/AH16:AM16,0),'Mkt Pen Veh-Mi'!N16:S16)</f>
        <v>6.0583595281689906</v>
      </c>
      <c r="AR16" s="1320">
        <v>2014</v>
      </c>
      <c r="AS16" s="1322">
        <f t="shared" si="32"/>
        <v>1</v>
      </c>
      <c r="AT16" s="1323">
        <f t="shared" si="33"/>
        <v>1</v>
      </c>
      <c r="AU16" s="1323">
        <f t="shared" si="34"/>
        <v>1</v>
      </c>
      <c r="AV16" s="1327">
        <v>1</v>
      </c>
    </row>
    <row r="17" spans="1:48" s="1176" customFormat="1" ht="15" x14ac:dyDescent="0.25">
      <c r="A17" s="1197">
        <v>2015</v>
      </c>
      <c r="B17" s="1248">
        <f>IF('Mkt Pen Veh-Mi'!B17=0,1,1/((1-Fuel2ShrbyTech!B18)/'Inputs 7&amp;8 Sleep'!$N30+Fuel2ShrbyTech!B18/'Inputs 7&amp;8 Sleep'!$T30))</f>
        <v>6.1703756815216178</v>
      </c>
      <c r="C17" s="1249">
        <f>IF('Mkt Pen Veh-Mi'!C17=0,1,1/((1-Fuel2ShrbyTech!C18)/'Inputs 7&amp;8 Sleep'!$O30+Fuel2ShrbyTech!C18/'Inputs 7&amp;8 Sleep'!$U30))</f>
        <v>1</v>
      </c>
      <c r="D17" s="1249">
        <f>IF('Mkt Pen Veh-Mi'!D17=0,1,1/((1-Fuel2ShrbyTech!D18)/'Inputs 7&amp;8 Sleep'!$P30+Fuel2ShrbyTech!D18/'Inputs 7&amp;8 Sleep'!$V30))</f>
        <v>1</v>
      </c>
      <c r="E17" s="1249">
        <f>IF('Mkt Pen Veh-Mi'!E17=0,1,1/((1-Fuel2ShrbyTech!E18)/'Inputs 7&amp;8 Sleep'!$Q30+Fuel2ShrbyTech!E18/'Inputs 7&amp;8 Sleep'!$W30))</f>
        <v>1</v>
      </c>
      <c r="F17" s="1249">
        <f>IF('Mkt Pen Veh-Mi'!F17=0,1,1/((1-Fuel2ShrbyTech!F18)/'Inputs 7&amp;8 Sleep'!$R30+Fuel2ShrbyTech!F18/'Inputs 7&amp;8 Sleep'!$X30))</f>
        <v>1</v>
      </c>
      <c r="G17" s="1250">
        <f>IF('Mkt Pen Veh-Mi'!G17=0,1,1/((1-Fuel2ShrbyTech!G18)/'Inputs 7&amp;8 Sleep'!$S30+Fuel2ShrbyTech!G18/'Inputs 7&amp;8 Sleep'!$Y30))</f>
        <v>1</v>
      </c>
      <c r="H17" s="1248">
        <f>IF('Mkt Pen Veh-Mi'!H17=0,1,1/((1-Fuel2ShrbyTech!H18)/'Inputs 7&amp;8 Day'!$N30+Fuel2ShrbyTech!H18/'Inputs 7&amp;8 Day'!$T30))</f>
        <v>6.1703756815216178</v>
      </c>
      <c r="I17" s="1249">
        <f>IF('Mkt Pen Veh-Mi'!I17=0,1,1/((1-Fuel2ShrbyTech!I18)/'Inputs 7&amp;8 Day'!$O30+Fuel2ShrbyTech!I18/'Inputs 7&amp;8 Day'!$U30))</f>
        <v>1</v>
      </c>
      <c r="J17" s="1249">
        <f>IF('Mkt Pen Veh-Mi'!J17=0,1,1/((1-Fuel2ShrbyTech!J18)/'Inputs 7&amp;8 Day'!$P30+Fuel2ShrbyTech!J18/'Inputs 7&amp;8 Day'!$V30))</f>
        <v>1</v>
      </c>
      <c r="K17" s="1249">
        <f>IF('Mkt Pen Veh-Mi'!K17=0,1,1/((1-Fuel2ShrbyTech!K18)/'Inputs 7&amp;8 Day'!$Q30+Fuel2ShrbyTech!K18/'Inputs 7&amp;8 Day'!$W30))</f>
        <v>1</v>
      </c>
      <c r="L17" s="1249">
        <f>IF('Mkt Pen Veh-Mi'!L17=0,1,1/((1-Fuel2ShrbyTech!L18)/'Inputs 7&amp;8 Day'!$R30+Fuel2ShrbyTech!L18/'Inputs 7&amp;8 Day'!$X30))</f>
        <v>1</v>
      </c>
      <c r="M17" s="1250">
        <f>IF('Mkt Pen Veh-Mi'!M17=0,1,1/((1-Fuel2ShrbyTech!M18)/'Inputs 7&amp;8 Day'!$S30+Fuel2ShrbyTech!M18/'Inputs 7&amp;8 Day'!$Y30))</f>
        <v>1</v>
      </c>
      <c r="N17" s="1248">
        <f>IF('Mkt Pen Veh-Mi'!N17=0,1,1/((1-Fuel2ShrbyTech!N18)/'Inputs 7&amp;8 SU'!$N30+Fuel2ShrbyTech!N18/'Inputs 7&amp;8 SU'!$T30))</f>
        <v>6.1703756815216178</v>
      </c>
      <c r="O17" s="1249">
        <f>IF('Mkt Pen Veh-Mi'!O17=0,1,1/((1-Fuel2ShrbyTech!O18)/'Inputs 7&amp;8 SU'!$O30+Fuel2ShrbyTech!O18/'Inputs 7&amp;8 SU'!$U30))</f>
        <v>1</v>
      </c>
      <c r="P17" s="1249">
        <f>IF('Mkt Pen Veh-Mi'!P17=0,1,1/((1-Fuel2ShrbyTech!P18)/'Inputs 7&amp;8 SU'!$P30+Fuel2ShrbyTech!P18/'Inputs 7&amp;8 SU'!$V30))</f>
        <v>1</v>
      </c>
      <c r="Q17" s="1249">
        <f>IF('Mkt Pen Veh-Mi'!Q17=0,1,1/((1-Fuel2ShrbyTech!Q18)/'Inputs 7&amp;8 SU'!$Q30+Fuel2ShrbyTech!Q18/'Inputs 7&amp;8 SU'!$W30))</f>
        <v>1</v>
      </c>
      <c r="R17" s="1249">
        <f>IF('Mkt Pen Veh-Mi'!R17=0,1,1/((1-Fuel2ShrbyTech!R18)/'Inputs 7&amp;8 SU'!$R30+Fuel2ShrbyTech!R18/'Inputs 7&amp;8 SU'!$X30))</f>
        <v>1</v>
      </c>
      <c r="S17" s="1250">
        <f>IF('Mkt Pen Veh-Mi'!S17=0,1,1/((1-Fuel2ShrbyTech!S18)/'Inputs 7&amp;8 SU'!$S30+Fuel2ShrbyTech!S18/'Inputs 7&amp;8 SU'!$Y30))</f>
        <v>1</v>
      </c>
      <c r="U17" s="1197">
        <f t="shared" si="13"/>
        <v>2015</v>
      </c>
      <c r="V17" s="1248">
        <f t="shared" si="14"/>
        <v>6.1703756815216178</v>
      </c>
      <c r="W17" s="1249">
        <f t="shared" si="15"/>
        <v>0</v>
      </c>
      <c r="X17" s="1249">
        <f t="shared" si="16"/>
        <v>0</v>
      </c>
      <c r="Y17" s="1249">
        <f t="shared" si="17"/>
        <v>0</v>
      </c>
      <c r="Z17" s="1249">
        <f t="shared" si="18"/>
        <v>0</v>
      </c>
      <c r="AA17" s="1250">
        <f t="shared" si="19"/>
        <v>0</v>
      </c>
      <c r="AB17" s="1248">
        <f t="shared" si="20"/>
        <v>6.1703756815216178</v>
      </c>
      <c r="AC17" s="1249">
        <f t="shared" si="21"/>
        <v>0</v>
      </c>
      <c r="AD17" s="1249">
        <f t="shared" si="22"/>
        <v>0</v>
      </c>
      <c r="AE17" s="1249">
        <f t="shared" si="23"/>
        <v>0</v>
      </c>
      <c r="AF17" s="1249">
        <f t="shared" si="24"/>
        <v>0</v>
      </c>
      <c r="AG17" s="1250">
        <f t="shared" si="25"/>
        <v>0</v>
      </c>
      <c r="AH17" s="1248">
        <f t="shared" si="26"/>
        <v>6.1703756815216178</v>
      </c>
      <c r="AI17" s="1249">
        <f t="shared" si="27"/>
        <v>0</v>
      </c>
      <c r="AJ17" s="1249">
        <f t="shared" si="28"/>
        <v>0</v>
      </c>
      <c r="AK17" s="1249">
        <f t="shared" si="29"/>
        <v>0</v>
      </c>
      <c r="AL17" s="1249">
        <f t="shared" si="30"/>
        <v>0</v>
      </c>
      <c r="AM17" s="1250">
        <f t="shared" si="31"/>
        <v>0</v>
      </c>
      <c r="AN17" s="1176">
        <v>2015</v>
      </c>
      <c r="AO17" s="1322">
        <f t="array" ref="AO17">1/SUMPRODUCT(IFERROR(1/V17:AA17,0),'Mkt Pen Veh-Mi'!B17:G17)</f>
        <v>6.1703756815216178</v>
      </c>
      <c r="AP17" s="1323">
        <f t="array" ref="AP17">1/SUMPRODUCT(IFERROR(1/AB17:AG17,0),'Mkt Pen Veh-Mi'!H17:M17)</f>
        <v>6.1703756815216178</v>
      </c>
      <c r="AQ17" s="1327">
        <f t="array" ref="AQ17">1/SUMPRODUCT(IFERROR(1/AH17:AM17,0),'Mkt Pen Veh-Mi'!N17:S17)</f>
        <v>6.1703756815216178</v>
      </c>
      <c r="AR17" s="1320">
        <v>2015</v>
      </c>
      <c r="AS17" s="1322">
        <f t="shared" si="32"/>
        <v>1</v>
      </c>
      <c r="AT17" s="1323">
        <f t="shared" si="33"/>
        <v>1</v>
      </c>
      <c r="AU17" s="1323">
        <f t="shared" si="34"/>
        <v>1</v>
      </c>
      <c r="AV17" s="1327">
        <v>1</v>
      </c>
    </row>
    <row r="18" spans="1:48" s="1176" customFormat="1" ht="15" x14ac:dyDescent="0.25">
      <c r="A18" s="1191">
        <v>2016</v>
      </c>
      <c r="B18" s="1251">
        <f>IF('Mkt Pen Veh-Mi'!B18=0,1,1/((1-Fuel2ShrbyTech!B19)/'Inputs 7&amp;8 Sleep'!$N31+Fuel2ShrbyTech!B19/'Inputs 7&amp;8 Sleep'!$T31))</f>
        <v>6.2992037959414624</v>
      </c>
      <c r="C18" s="1252">
        <f>IF('Mkt Pen Veh-Mi'!C18=0,1,1/((1-Fuel2ShrbyTech!C19)/'Inputs 7&amp;8 Sleep'!$O31+Fuel2ShrbyTech!C19/'Inputs 7&amp;8 Sleep'!$U31))</f>
        <v>1</v>
      </c>
      <c r="D18" s="1252">
        <f>IF('Mkt Pen Veh-Mi'!D18=0,1,1/((1-Fuel2ShrbyTech!D19)/'Inputs 7&amp;8 Sleep'!$P31+Fuel2ShrbyTech!D19/'Inputs 7&amp;8 Sleep'!$V31))</f>
        <v>1</v>
      </c>
      <c r="E18" s="1252">
        <f>IF('Mkt Pen Veh-Mi'!E18=0,1,1/((1-Fuel2ShrbyTech!E19)/'Inputs 7&amp;8 Sleep'!$Q31+Fuel2ShrbyTech!E19/'Inputs 7&amp;8 Sleep'!$W31))</f>
        <v>1</v>
      </c>
      <c r="F18" s="1252">
        <f>IF('Mkt Pen Veh-Mi'!F18=0,1,1/((1-Fuel2ShrbyTech!F19)/'Inputs 7&amp;8 Sleep'!$R31+Fuel2ShrbyTech!F19/'Inputs 7&amp;8 Sleep'!$X31))</f>
        <v>1</v>
      </c>
      <c r="G18" s="1253">
        <f>IF('Mkt Pen Veh-Mi'!G18=0,1,1/((1-Fuel2ShrbyTech!G19)/'Inputs 7&amp;8 Sleep'!$S31+Fuel2ShrbyTech!G19/'Inputs 7&amp;8 Sleep'!$Y31))</f>
        <v>1</v>
      </c>
      <c r="H18" s="1251">
        <f>IF('Mkt Pen Veh-Mi'!H18=0,1,1/((1-Fuel2ShrbyTech!H19)/'Inputs 7&amp;8 Day'!$N31+Fuel2ShrbyTech!H19/'Inputs 7&amp;8 Day'!$T31))</f>
        <v>6.2992037959414624</v>
      </c>
      <c r="I18" s="1252">
        <f>IF('Mkt Pen Veh-Mi'!I18=0,1,1/((1-Fuel2ShrbyTech!I19)/'Inputs 7&amp;8 Day'!$O31+Fuel2ShrbyTech!I19/'Inputs 7&amp;8 Day'!$U31))</f>
        <v>1</v>
      </c>
      <c r="J18" s="1252">
        <f>IF('Mkt Pen Veh-Mi'!J18=0,1,1/((1-Fuel2ShrbyTech!J19)/'Inputs 7&amp;8 Day'!$P31+Fuel2ShrbyTech!J19/'Inputs 7&amp;8 Day'!$V31))</f>
        <v>1</v>
      </c>
      <c r="K18" s="1252">
        <f>IF('Mkt Pen Veh-Mi'!K18=0,1,1/((1-Fuel2ShrbyTech!K19)/'Inputs 7&amp;8 Day'!$Q31+Fuel2ShrbyTech!K19/'Inputs 7&amp;8 Day'!$W31))</f>
        <v>1</v>
      </c>
      <c r="L18" s="1252">
        <f>IF('Mkt Pen Veh-Mi'!L18=0,1,1/((1-Fuel2ShrbyTech!L19)/'Inputs 7&amp;8 Day'!$R31+Fuel2ShrbyTech!L19/'Inputs 7&amp;8 Day'!$X31))</f>
        <v>1</v>
      </c>
      <c r="M18" s="1253">
        <f>IF('Mkt Pen Veh-Mi'!M18=0,1,1/((1-Fuel2ShrbyTech!M19)/'Inputs 7&amp;8 Day'!$S31+Fuel2ShrbyTech!M19/'Inputs 7&amp;8 Day'!$Y31))</f>
        <v>1</v>
      </c>
      <c r="N18" s="1251">
        <f>IF('Mkt Pen Veh-Mi'!N18=0,1,1/((1-Fuel2ShrbyTech!N19)/'Inputs 7&amp;8 SU'!$N31+Fuel2ShrbyTech!N19/'Inputs 7&amp;8 SU'!$T31))</f>
        <v>6.2992037959414624</v>
      </c>
      <c r="O18" s="1252">
        <f>IF('Mkt Pen Veh-Mi'!O18=0,1,1/((1-Fuel2ShrbyTech!O19)/'Inputs 7&amp;8 SU'!$O31+Fuel2ShrbyTech!O19/'Inputs 7&amp;8 SU'!$U31))</f>
        <v>1</v>
      </c>
      <c r="P18" s="1252">
        <f>IF('Mkt Pen Veh-Mi'!P18=0,1,1/((1-Fuel2ShrbyTech!P19)/'Inputs 7&amp;8 SU'!$P31+Fuel2ShrbyTech!P19/'Inputs 7&amp;8 SU'!$V31))</f>
        <v>1</v>
      </c>
      <c r="Q18" s="1252">
        <f>IF('Mkt Pen Veh-Mi'!Q18=0,1,1/((1-Fuel2ShrbyTech!Q19)/'Inputs 7&amp;8 SU'!$Q31+Fuel2ShrbyTech!Q19/'Inputs 7&amp;8 SU'!$W31))</f>
        <v>1</v>
      </c>
      <c r="R18" s="1252">
        <f>IF('Mkt Pen Veh-Mi'!R18=0,1,1/((1-Fuel2ShrbyTech!R19)/'Inputs 7&amp;8 SU'!$R31+Fuel2ShrbyTech!R19/'Inputs 7&amp;8 SU'!$X31))</f>
        <v>1</v>
      </c>
      <c r="S18" s="1253">
        <f>IF('Mkt Pen Veh-Mi'!S18=0,1,1/((1-Fuel2ShrbyTech!S19)/'Inputs 7&amp;8 SU'!$S31+Fuel2ShrbyTech!S19/'Inputs 7&amp;8 SU'!$Y31))</f>
        <v>1</v>
      </c>
      <c r="U18" s="1191">
        <f t="shared" si="13"/>
        <v>2016</v>
      </c>
      <c r="V18" s="1251">
        <f t="shared" si="14"/>
        <v>6.2992037959414624</v>
      </c>
      <c r="W18" s="1252">
        <f t="shared" si="15"/>
        <v>0</v>
      </c>
      <c r="X18" s="1252">
        <f t="shared" si="16"/>
        <v>0</v>
      </c>
      <c r="Y18" s="1252">
        <f t="shared" si="17"/>
        <v>0</v>
      </c>
      <c r="Z18" s="1252">
        <f t="shared" si="18"/>
        <v>0</v>
      </c>
      <c r="AA18" s="1253">
        <f t="shared" si="19"/>
        <v>0</v>
      </c>
      <c r="AB18" s="1251">
        <f t="shared" si="20"/>
        <v>6.2992037959414624</v>
      </c>
      <c r="AC18" s="1252">
        <f t="shared" si="21"/>
        <v>0</v>
      </c>
      <c r="AD18" s="1252">
        <f t="shared" si="22"/>
        <v>0</v>
      </c>
      <c r="AE18" s="1252">
        <f t="shared" si="23"/>
        <v>0</v>
      </c>
      <c r="AF18" s="1252">
        <f t="shared" si="24"/>
        <v>0</v>
      </c>
      <c r="AG18" s="1253">
        <f t="shared" si="25"/>
        <v>0</v>
      </c>
      <c r="AH18" s="1251">
        <f t="shared" si="26"/>
        <v>6.2992037959414624</v>
      </c>
      <c r="AI18" s="1252">
        <f t="shared" si="27"/>
        <v>0</v>
      </c>
      <c r="AJ18" s="1252">
        <f t="shared" si="28"/>
        <v>0</v>
      </c>
      <c r="AK18" s="1252">
        <f t="shared" si="29"/>
        <v>0</v>
      </c>
      <c r="AL18" s="1252">
        <f t="shared" si="30"/>
        <v>0</v>
      </c>
      <c r="AM18" s="1253">
        <f t="shared" si="31"/>
        <v>0</v>
      </c>
      <c r="AN18" s="1176">
        <v>2016</v>
      </c>
      <c r="AO18" s="1322">
        <f t="array" ref="AO18">1/SUMPRODUCT(IFERROR(1/V18:AA18,0),'Mkt Pen Veh-Mi'!B18:G18)</f>
        <v>6.2992037959414624</v>
      </c>
      <c r="AP18" s="1323">
        <f t="array" ref="AP18">1/SUMPRODUCT(IFERROR(1/AB18:AG18,0),'Mkt Pen Veh-Mi'!H18:M18)</f>
        <v>6.2992037959414624</v>
      </c>
      <c r="AQ18" s="1327">
        <f t="array" ref="AQ18">1/SUMPRODUCT(IFERROR(1/AH18:AM18,0),'Mkt Pen Veh-Mi'!N18:S18)</f>
        <v>6.2992037959414624</v>
      </c>
      <c r="AR18" s="1320">
        <v>2016</v>
      </c>
      <c r="AS18" s="1322">
        <f t="shared" si="32"/>
        <v>1</v>
      </c>
      <c r="AT18" s="1323">
        <f t="shared" si="33"/>
        <v>1</v>
      </c>
      <c r="AU18" s="1323">
        <f t="shared" si="34"/>
        <v>1</v>
      </c>
      <c r="AV18" s="1327">
        <v>1</v>
      </c>
    </row>
    <row r="19" spans="1:48" s="1176" customFormat="1" ht="15" x14ac:dyDescent="0.25">
      <c r="A19" s="1191">
        <v>2017</v>
      </c>
      <c r="B19" s="1245">
        <f>IF('Mkt Pen Veh-Mi'!B19=0,1,1/((1-Fuel2ShrbyTech!B20)/'Inputs 7&amp;8 Sleep'!$N32+Fuel2ShrbyTech!B20/'Inputs 7&amp;8 Sleep'!$T32))</f>
        <v>6.429880170141046</v>
      </c>
      <c r="C19" s="1246">
        <f>IF('Mkt Pen Veh-Mi'!C19=0,1,1/((1-Fuel2ShrbyTech!C20)/'Inputs 7&amp;8 Sleep'!$O32+Fuel2ShrbyTech!C20/'Inputs 7&amp;8 Sleep'!$U32))</f>
        <v>1</v>
      </c>
      <c r="D19" s="1246">
        <f>IF('Mkt Pen Veh-Mi'!D19=0,1,1/((1-Fuel2ShrbyTech!D20)/'Inputs 7&amp;8 Sleep'!$P32+Fuel2ShrbyTech!D20/'Inputs 7&amp;8 Sleep'!$V32))</f>
        <v>1</v>
      </c>
      <c r="E19" s="1246">
        <f>IF('Mkt Pen Veh-Mi'!E19=0,1,1/((1-Fuel2ShrbyTech!E20)/'Inputs 7&amp;8 Sleep'!$Q32+Fuel2ShrbyTech!E20/'Inputs 7&amp;8 Sleep'!$W32))</f>
        <v>1</v>
      </c>
      <c r="F19" s="1246">
        <f>IF('Mkt Pen Veh-Mi'!F19=0,1,1/((1-Fuel2ShrbyTech!F20)/'Inputs 7&amp;8 Sleep'!$R32+Fuel2ShrbyTech!F20/'Inputs 7&amp;8 Sleep'!$X32))</f>
        <v>1</v>
      </c>
      <c r="G19" s="1247">
        <f>IF('Mkt Pen Veh-Mi'!G19=0,1,1/((1-Fuel2ShrbyTech!G20)/'Inputs 7&amp;8 Sleep'!$S32+Fuel2ShrbyTech!G20/'Inputs 7&amp;8 Sleep'!$Y32))</f>
        <v>1</v>
      </c>
      <c r="H19" s="1245">
        <f>IF('Mkt Pen Veh-Mi'!H19=0,1,1/((1-Fuel2ShrbyTech!H20)/'Inputs 7&amp;8 Day'!$N32+Fuel2ShrbyTech!H20/'Inputs 7&amp;8 Day'!$T32))</f>
        <v>6.429880170141046</v>
      </c>
      <c r="I19" s="1246">
        <f>IF('Mkt Pen Veh-Mi'!I19=0,1,1/((1-Fuel2ShrbyTech!I20)/'Inputs 7&amp;8 Day'!$O32+Fuel2ShrbyTech!I20/'Inputs 7&amp;8 Day'!$U32))</f>
        <v>1</v>
      </c>
      <c r="J19" s="1246">
        <f>IF('Mkt Pen Veh-Mi'!J19=0,1,1/((1-Fuel2ShrbyTech!J20)/'Inputs 7&amp;8 Day'!$P32+Fuel2ShrbyTech!J20/'Inputs 7&amp;8 Day'!$V32))</f>
        <v>1</v>
      </c>
      <c r="K19" s="1246">
        <f>IF('Mkt Pen Veh-Mi'!K19=0,1,1/((1-Fuel2ShrbyTech!K20)/'Inputs 7&amp;8 Day'!$Q32+Fuel2ShrbyTech!K20/'Inputs 7&amp;8 Day'!$W32))</f>
        <v>1</v>
      </c>
      <c r="L19" s="1246">
        <f>IF('Mkt Pen Veh-Mi'!L19=0,1,1/((1-Fuel2ShrbyTech!L20)/'Inputs 7&amp;8 Day'!$R32+Fuel2ShrbyTech!L20/'Inputs 7&amp;8 Day'!$X32))</f>
        <v>1</v>
      </c>
      <c r="M19" s="1247">
        <f>IF('Mkt Pen Veh-Mi'!M19=0,1,1/((1-Fuel2ShrbyTech!M20)/'Inputs 7&amp;8 Day'!$S32+Fuel2ShrbyTech!M20/'Inputs 7&amp;8 Day'!$Y32))</f>
        <v>1</v>
      </c>
      <c r="N19" s="1245">
        <f>IF('Mkt Pen Veh-Mi'!N19=0,1,1/((1-Fuel2ShrbyTech!N20)/'Inputs 7&amp;8 SU'!$N32+Fuel2ShrbyTech!N20/'Inputs 7&amp;8 SU'!$T32))</f>
        <v>6.429880170141046</v>
      </c>
      <c r="O19" s="1246">
        <f>IF('Mkt Pen Veh-Mi'!O19=0,1,1/((1-Fuel2ShrbyTech!O20)/'Inputs 7&amp;8 SU'!$O32+Fuel2ShrbyTech!O20/'Inputs 7&amp;8 SU'!$U32))</f>
        <v>1</v>
      </c>
      <c r="P19" s="1246">
        <f>IF('Mkt Pen Veh-Mi'!P19=0,1,1/((1-Fuel2ShrbyTech!P20)/'Inputs 7&amp;8 SU'!$P32+Fuel2ShrbyTech!P20/'Inputs 7&amp;8 SU'!$V32))</f>
        <v>1</v>
      </c>
      <c r="Q19" s="1246">
        <f>IF('Mkt Pen Veh-Mi'!Q19=0,1,1/((1-Fuel2ShrbyTech!Q20)/'Inputs 7&amp;8 SU'!$Q32+Fuel2ShrbyTech!Q20/'Inputs 7&amp;8 SU'!$W32))</f>
        <v>1</v>
      </c>
      <c r="R19" s="1246">
        <f>IF('Mkt Pen Veh-Mi'!R19=0,1,1/((1-Fuel2ShrbyTech!R20)/'Inputs 7&amp;8 SU'!$R32+Fuel2ShrbyTech!R20/'Inputs 7&amp;8 SU'!$X32))</f>
        <v>1</v>
      </c>
      <c r="S19" s="1247">
        <f>IF('Mkt Pen Veh-Mi'!S19=0,1,1/((1-Fuel2ShrbyTech!S20)/'Inputs 7&amp;8 SU'!$S32+Fuel2ShrbyTech!S20/'Inputs 7&amp;8 SU'!$Y32))</f>
        <v>1</v>
      </c>
      <c r="U19" s="1191">
        <f t="shared" si="13"/>
        <v>2017</v>
      </c>
      <c r="V19" s="1245">
        <f t="shared" si="14"/>
        <v>6.429880170141046</v>
      </c>
      <c r="W19" s="1246">
        <f t="shared" si="15"/>
        <v>0</v>
      </c>
      <c r="X19" s="1246">
        <f t="shared" si="16"/>
        <v>0</v>
      </c>
      <c r="Y19" s="1246">
        <f t="shared" si="17"/>
        <v>0</v>
      </c>
      <c r="Z19" s="1246">
        <f t="shared" si="18"/>
        <v>0</v>
      </c>
      <c r="AA19" s="1247">
        <f t="shared" si="19"/>
        <v>0</v>
      </c>
      <c r="AB19" s="1245">
        <f t="shared" si="20"/>
        <v>6.429880170141046</v>
      </c>
      <c r="AC19" s="1246">
        <f t="shared" si="21"/>
        <v>0</v>
      </c>
      <c r="AD19" s="1246">
        <f t="shared" si="22"/>
        <v>0</v>
      </c>
      <c r="AE19" s="1246">
        <f t="shared" si="23"/>
        <v>0</v>
      </c>
      <c r="AF19" s="1246">
        <f t="shared" si="24"/>
        <v>0</v>
      </c>
      <c r="AG19" s="1247">
        <f t="shared" si="25"/>
        <v>0</v>
      </c>
      <c r="AH19" s="1245">
        <f t="shared" si="26"/>
        <v>6.429880170141046</v>
      </c>
      <c r="AI19" s="1246">
        <f t="shared" si="27"/>
        <v>0</v>
      </c>
      <c r="AJ19" s="1246">
        <f t="shared" si="28"/>
        <v>0</v>
      </c>
      <c r="AK19" s="1246">
        <f t="shared" si="29"/>
        <v>0</v>
      </c>
      <c r="AL19" s="1246">
        <f t="shared" si="30"/>
        <v>0</v>
      </c>
      <c r="AM19" s="1247">
        <f t="shared" si="31"/>
        <v>0</v>
      </c>
      <c r="AN19" s="1176">
        <v>2017</v>
      </c>
      <c r="AO19" s="1322">
        <f t="array" ref="AO19">1/SUMPRODUCT(IFERROR(1/V19:AA19,0),'Mkt Pen Veh-Mi'!B19:G19)</f>
        <v>6.429880170141046</v>
      </c>
      <c r="AP19" s="1323">
        <f t="array" ref="AP19">1/SUMPRODUCT(IFERROR(1/AB19:AG19,0),'Mkt Pen Veh-Mi'!H19:M19)</f>
        <v>6.429880170141046</v>
      </c>
      <c r="AQ19" s="1327">
        <f t="array" ref="AQ19">1/SUMPRODUCT(IFERROR(1/AH19:AM19,0),'Mkt Pen Veh-Mi'!N19:S19)</f>
        <v>6.429880170141046</v>
      </c>
      <c r="AR19" s="1320">
        <v>2017</v>
      </c>
      <c r="AS19" s="1322">
        <f t="shared" si="32"/>
        <v>1</v>
      </c>
      <c r="AT19" s="1323">
        <f t="shared" si="33"/>
        <v>1</v>
      </c>
      <c r="AU19" s="1323">
        <f t="shared" si="34"/>
        <v>1</v>
      </c>
      <c r="AV19" s="1327">
        <v>1</v>
      </c>
    </row>
    <row r="20" spans="1:48" s="1176" customFormat="1" ht="15" x14ac:dyDescent="0.25">
      <c r="A20" s="1191">
        <v>2018</v>
      </c>
      <c r="B20" s="1245">
        <f>IF('Mkt Pen Veh-Mi'!B20=0,1,1/((1-Fuel2ShrbyTech!B21)/'Inputs 7&amp;8 Sleep'!$N33+Fuel2ShrbyTech!B21/'Inputs 7&amp;8 Sleep'!$T33))</f>
        <v>6.3927777584473002</v>
      </c>
      <c r="C20" s="1246">
        <f>IF('Mkt Pen Veh-Mi'!C20=0,1,1/((1-Fuel2ShrbyTech!C21)/'Inputs 7&amp;8 Sleep'!$O33+Fuel2ShrbyTech!C21/'Inputs 7&amp;8 Sleep'!$U33))</f>
        <v>1</v>
      </c>
      <c r="D20" s="1246">
        <f>IF('Mkt Pen Veh-Mi'!D20=0,1,1/((1-Fuel2ShrbyTech!D21)/'Inputs 7&amp;8 Sleep'!$P33+Fuel2ShrbyTech!D21/'Inputs 7&amp;8 Sleep'!$V33))</f>
        <v>1</v>
      </c>
      <c r="E20" s="1246">
        <f>IF('Mkt Pen Veh-Mi'!E20=0,1,1/((1-Fuel2ShrbyTech!E21)/'Inputs 7&amp;8 Sleep'!$Q33+Fuel2ShrbyTech!E21/'Inputs 7&amp;8 Sleep'!$W33))</f>
        <v>1</v>
      </c>
      <c r="F20" s="1246">
        <f>IF('Mkt Pen Veh-Mi'!F20=0,1,1/((1-Fuel2ShrbyTech!F21)/'Inputs 7&amp;8 Sleep'!$R33+Fuel2ShrbyTech!F21/'Inputs 7&amp;8 Sleep'!$X33))</f>
        <v>1</v>
      </c>
      <c r="G20" s="1247">
        <f>IF('Mkt Pen Veh-Mi'!G20=0,1,1/((1-Fuel2ShrbyTech!G21)/'Inputs 7&amp;8 Sleep'!$S33+Fuel2ShrbyTech!G21/'Inputs 7&amp;8 Sleep'!$Y33))</f>
        <v>1</v>
      </c>
      <c r="H20" s="1245">
        <f>IF('Mkt Pen Veh-Mi'!H20=0,1,1/((1-Fuel2ShrbyTech!H21)/'Inputs 7&amp;8 Day'!$N33+Fuel2ShrbyTech!H21/'Inputs 7&amp;8 Day'!$T33))</f>
        <v>6.3927777584473002</v>
      </c>
      <c r="I20" s="1246">
        <f>IF('Mkt Pen Veh-Mi'!I20=0,1,1/((1-Fuel2ShrbyTech!I21)/'Inputs 7&amp;8 Day'!$O33+Fuel2ShrbyTech!I21/'Inputs 7&amp;8 Day'!$U33))</f>
        <v>1</v>
      </c>
      <c r="J20" s="1246">
        <f>IF('Mkt Pen Veh-Mi'!J20=0,1,1/((1-Fuel2ShrbyTech!J21)/'Inputs 7&amp;8 Day'!$P33+Fuel2ShrbyTech!J21/'Inputs 7&amp;8 Day'!$V33))</f>
        <v>1</v>
      </c>
      <c r="K20" s="1246">
        <f>IF('Mkt Pen Veh-Mi'!K20=0,1,1/((1-Fuel2ShrbyTech!K21)/'Inputs 7&amp;8 Day'!$Q33+Fuel2ShrbyTech!K21/'Inputs 7&amp;8 Day'!$W33))</f>
        <v>1</v>
      </c>
      <c r="L20" s="1246">
        <f>IF('Mkt Pen Veh-Mi'!L20=0,1,1/((1-Fuel2ShrbyTech!L21)/'Inputs 7&amp;8 Day'!$R33+Fuel2ShrbyTech!L21/'Inputs 7&amp;8 Day'!$X33))</f>
        <v>1</v>
      </c>
      <c r="M20" s="1247">
        <f>IF('Mkt Pen Veh-Mi'!M20=0,1,1/((1-Fuel2ShrbyTech!M21)/'Inputs 7&amp;8 Day'!$S33+Fuel2ShrbyTech!M21/'Inputs 7&amp;8 Day'!$Y33))</f>
        <v>1</v>
      </c>
      <c r="N20" s="1245">
        <f>IF('Mkt Pen Veh-Mi'!N20=0,1,1/((1-Fuel2ShrbyTech!N21)/'Inputs 7&amp;8 SU'!$N33+Fuel2ShrbyTech!N21/'Inputs 7&amp;8 SU'!$T33))</f>
        <v>6.3927777584473002</v>
      </c>
      <c r="O20" s="1246">
        <f>IF('Mkt Pen Veh-Mi'!O20=0,1,1/((1-Fuel2ShrbyTech!O21)/'Inputs 7&amp;8 SU'!$O33+Fuel2ShrbyTech!O21/'Inputs 7&amp;8 SU'!$U33))</f>
        <v>1</v>
      </c>
      <c r="P20" s="1246">
        <f>IF('Mkt Pen Veh-Mi'!P20=0,1,1/((1-Fuel2ShrbyTech!P21)/'Inputs 7&amp;8 SU'!$P33+Fuel2ShrbyTech!P21/'Inputs 7&amp;8 SU'!$V33))</f>
        <v>1</v>
      </c>
      <c r="Q20" s="1246">
        <f>IF('Mkt Pen Veh-Mi'!Q20=0,1,1/((1-Fuel2ShrbyTech!Q21)/'Inputs 7&amp;8 SU'!$Q33+Fuel2ShrbyTech!Q21/'Inputs 7&amp;8 SU'!$W33))</f>
        <v>1</v>
      </c>
      <c r="R20" s="1246">
        <f>IF('Mkt Pen Veh-Mi'!R20=0,1,1/((1-Fuel2ShrbyTech!R21)/'Inputs 7&amp;8 SU'!$R33+Fuel2ShrbyTech!R21/'Inputs 7&amp;8 SU'!$X33))</f>
        <v>1</v>
      </c>
      <c r="S20" s="1247">
        <f>IF('Mkt Pen Veh-Mi'!S20=0,1,1/((1-Fuel2ShrbyTech!S21)/'Inputs 7&amp;8 SU'!$S33+Fuel2ShrbyTech!S21/'Inputs 7&amp;8 SU'!$Y33))</f>
        <v>1</v>
      </c>
      <c r="U20" s="1191">
        <f t="shared" si="13"/>
        <v>2018</v>
      </c>
      <c r="V20" s="1245">
        <f t="shared" si="14"/>
        <v>6.3927777584473002</v>
      </c>
      <c r="W20" s="1246">
        <f t="shared" si="15"/>
        <v>0</v>
      </c>
      <c r="X20" s="1246">
        <f t="shared" si="16"/>
        <v>0</v>
      </c>
      <c r="Y20" s="1246">
        <f t="shared" si="17"/>
        <v>0</v>
      </c>
      <c r="Z20" s="1246">
        <f t="shared" si="18"/>
        <v>0</v>
      </c>
      <c r="AA20" s="1247">
        <f t="shared" si="19"/>
        <v>0</v>
      </c>
      <c r="AB20" s="1245">
        <f t="shared" si="20"/>
        <v>6.3927777584473002</v>
      </c>
      <c r="AC20" s="1246">
        <f t="shared" si="21"/>
        <v>0</v>
      </c>
      <c r="AD20" s="1246">
        <f t="shared" si="22"/>
        <v>0</v>
      </c>
      <c r="AE20" s="1246">
        <f t="shared" si="23"/>
        <v>0</v>
      </c>
      <c r="AF20" s="1246">
        <f t="shared" si="24"/>
        <v>0</v>
      </c>
      <c r="AG20" s="1247">
        <f t="shared" si="25"/>
        <v>0</v>
      </c>
      <c r="AH20" s="1245">
        <f t="shared" si="26"/>
        <v>6.3927777584473002</v>
      </c>
      <c r="AI20" s="1246">
        <f t="shared" si="27"/>
        <v>0</v>
      </c>
      <c r="AJ20" s="1246">
        <f t="shared" si="28"/>
        <v>0</v>
      </c>
      <c r="AK20" s="1246">
        <f t="shared" si="29"/>
        <v>0</v>
      </c>
      <c r="AL20" s="1246">
        <f t="shared" si="30"/>
        <v>0</v>
      </c>
      <c r="AM20" s="1247">
        <f t="shared" si="31"/>
        <v>0</v>
      </c>
      <c r="AN20" s="1176">
        <v>2018</v>
      </c>
      <c r="AO20" s="1322">
        <f t="array" ref="AO20">1/SUMPRODUCT(IFERROR(1/V20:AA20,0),'Mkt Pen Veh-Mi'!B20:G20)</f>
        <v>6.3927777584473002</v>
      </c>
      <c r="AP20" s="1323">
        <f t="array" ref="AP20">1/SUMPRODUCT(IFERROR(1/AB20:AG20,0),'Mkt Pen Veh-Mi'!H20:M20)</f>
        <v>6.3927777584473002</v>
      </c>
      <c r="AQ20" s="1327">
        <f t="array" ref="AQ20">1/SUMPRODUCT(IFERROR(1/AH20:AM20,0),'Mkt Pen Veh-Mi'!N20:S20)</f>
        <v>6.3927777584473002</v>
      </c>
      <c r="AR20" s="1320">
        <v>2018</v>
      </c>
      <c r="AS20" s="1322">
        <f t="shared" si="32"/>
        <v>1</v>
      </c>
      <c r="AT20" s="1323">
        <f t="shared" si="33"/>
        <v>1</v>
      </c>
      <c r="AU20" s="1323">
        <f t="shared" si="34"/>
        <v>1</v>
      </c>
      <c r="AV20" s="1327">
        <v>1</v>
      </c>
    </row>
    <row r="21" spans="1:48" s="1176" customFormat="1" ht="15" x14ac:dyDescent="0.25">
      <c r="A21" s="1191">
        <v>2019</v>
      </c>
      <c r="B21" s="1245">
        <f>IF('Mkt Pen Veh-Mi'!B21=0,1,1/((1-Fuel2ShrbyTech!B22)/'Inputs 7&amp;8 Sleep'!$N34+Fuel2ShrbyTech!B22/'Inputs 7&amp;8 Sleep'!$T34))</f>
        <v>6.433352026317448</v>
      </c>
      <c r="C21" s="1246">
        <f>IF('Mkt Pen Veh-Mi'!C21=0,1,1/((1-Fuel2ShrbyTech!C22)/'Inputs 7&amp;8 Sleep'!$O34+Fuel2ShrbyTech!C22/'Inputs 7&amp;8 Sleep'!$U34))</f>
        <v>1</v>
      </c>
      <c r="D21" s="1246">
        <f>IF('Mkt Pen Veh-Mi'!D21=0,1,1/((1-Fuel2ShrbyTech!D22)/'Inputs 7&amp;8 Sleep'!$P34+Fuel2ShrbyTech!D22/'Inputs 7&amp;8 Sleep'!$V34))</f>
        <v>1</v>
      </c>
      <c r="E21" s="1246">
        <f>IF('Mkt Pen Veh-Mi'!E21=0,1,1/((1-Fuel2ShrbyTech!E22)/'Inputs 7&amp;8 Sleep'!$Q34+Fuel2ShrbyTech!E22/'Inputs 7&amp;8 Sleep'!$W34))</f>
        <v>1</v>
      </c>
      <c r="F21" s="1246">
        <f>IF('Mkt Pen Veh-Mi'!F21=0,1,1/((1-Fuel2ShrbyTech!F22)/'Inputs 7&amp;8 Sleep'!$R34+Fuel2ShrbyTech!F22/'Inputs 7&amp;8 Sleep'!$X34))</f>
        <v>1</v>
      </c>
      <c r="G21" s="1247">
        <f>IF('Mkt Pen Veh-Mi'!G21=0,1,1/((1-Fuel2ShrbyTech!G22)/'Inputs 7&amp;8 Sleep'!$S34+Fuel2ShrbyTech!G22/'Inputs 7&amp;8 Sleep'!$Y34))</f>
        <v>1</v>
      </c>
      <c r="H21" s="1245">
        <f>IF('Mkt Pen Veh-Mi'!H21=0,1,1/((1-Fuel2ShrbyTech!H22)/'Inputs 7&amp;8 Day'!$N34+Fuel2ShrbyTech!H22/'Inputs 7&amp;8 Day'!$T34))</f>
        <v>6.433352026317448</v>
      </c>
      <c r="I21" s="1246">
        <f>IF('Mkt Pen Veh-Mi'!I21=0,1,1/((1-Fuel2ShrbyTech!I22)/'Inputs 7&amp;8 Day'!$O34+Fuel2ShrbyTech!I22/'Inputs 7&amp;8 Day'!$U34))</f>
        <v>1</v>
      </c>
      <c r="J21" s="1246">
        <f>IF('Mkt Pen Veh-Mi'!J21=0,1,1/((1-Fuel2ShrbyTech!J22)/'Inputs 7&amp;8 Day'!$P34+Fuel2ShrbyTech!J22/'Inputs 7&amp;8 Day'!$V34))</f>
        <v>1</v>
      </c>
      <c r="K21" s="1246">
        <f>IF('Mkt Pen Veh-Mi'!K21=0,1,1/((1-Fuel2ShrbyTech!K22)/'Inputs 7&amp;8 Day'!$Q34+Fuel2ShrbyTech!K22/'Inputs 7&amp;8 Day'!$W34))</f>
        <v>1</v>
      </c>
      <c r="L21" s="1246">
        <f>IF('Mkt Pen Veh-Mi'!L21=0,1,1/((1-Fuel2ShrbyTech!L22)/'Inputs 7&amp;8 Day'!$R34+Fuel2ShrbyTech!L22/'Inputs 7&amp;8 Day'!$X34))</f>
        <v>1</v>
      </c>
      <c r="M21" s="1247">
        <f>IF('Mkt Pen Veh-Mi'!M21=0,1,1/((1-Fuel2ShrbyTech!M22)/'Inputs 7&amp;8 Day'!$S34+Fuel2ShrbyTech!M22/'Inputs 7&amp;8 Day'!$Y34))</f>
        <v>1</v>
      </c>
      <c r="N21" s="1245">
        <f>IF('Mkt Pen Veh-Mi'!N21=0,1,1/((1-Fuel2ShrbyTech!N22)/'Inputs 7&amp;8 SU'!$N34+Fuel2ShrbyTech!N22/'Inputs 7&amp;8 SU'!$T34))</f>
        <v>6.433352026317448</v>
      </c>
      <c r="O21" s="1246">
        <f>IF('Mkt Pen Veh-Mi'!O21=0,1,1/((1-Fuel2ShrbyTech!O22)/'Inputs 7&amp;8 SU'!$O34+Fuel2ShrbyTech!O22/'Inputs 7&amp;8 SU'!$U34))</f>
        <v>1</v>
      </c>
      <c r="P21" s="1246">
        <f>IF('Mkt Pen Veh-Mi'!P21=0,1,1/((1-Fuel2ShrbyTech!P22)/'Inputs 7&amp;8 SU'!$P34+Fuel2ShrbyTech!P22/'Inputs 7&amp;8 SU'!$V34))</f>
        <v>1</v>
      </c>
      <c r="Q21" s="1246">
        <f>IF('Mkt Pen Veh-Mi'!Q21=0,1,1/((1-Fuel2ShrbyTech!Q22)/'Inputs 7&amp;8 SU'!$Q34+Fuel2ShrbyTech!Q22/'Inputs 7&amp;8 SU'!$W34))</f>
        <v>1</v>
      </c>
      <c r="R21" s="1246">
        <f>IF('Mkt Pen Veh-Mi'!R21=0,1,1/((1-Fuel2ShrbyTech!R22)/'Inputs 7&amp;8 SU'!$R34+Fuel2ShrbyTech!R22/'Inputs 7&amp;8 SU'!$X34))</f>
        <v>1</v>
      </c>
      <c r="S21" s="1247">
        <f>IF('Mkt Pen Veh-Mi'!S21=0,1,1/((1-Fuel2ShrbyTech!S22)/'Inputs 7&amp;8 SU'!$S34+Fuel2ShrbyTech!S22/'Inputs 7&amp;8 SU'!$Y34))</f>
        <v>1</v>
      </c>
      <c r="U21" s="1191">
        <f t="shared" si="13"/>
        <v>2019</v>
      </c>
      <c r="V21" s="1245">
        <f t="shared" si="14"/>
        <v>6.433352026317448</v>
      </c>
      <c r="W21" s="1246">
        <f t="shared" si="15"/>
        <v>0</v>
      </c>
      <c r="X21" s="1246">
        <f t="shared" si="16"/>
        <v>0</v>
      </c>
      <c r="Y21" s="1246">
        <f t="shared" si="17"/>
        <v>0</v>
      </c>
      <c r="Z21" s="1246">
        <f t="shared" si="18"/>
        <v>0</v>
      </c>
      <c r="AA21" s="1247">
        <f t="shared" si="19"/>
        <v>0</v>
      </c>
      <c r="AB21" s="1245">
        <f t="shared" si="20"/>
        <v>6.433352026317448</v>
      </c>
      <c r="AC21" s="1246">
        <f t="shared" si="21"/>
        <v>0</v>
      </c>
      <c r="AD21" s="1246">
        <f t="shared" si="22"/>
        <v>0</v>
      </c>
      <c r="AE21" s="1246">
        <f t="shared" si="23"/>
        <v>0</v>
      </c>
      <c r="AF21" s="1246">
        <f t="shared" si="24"/>
        <v>0</v>
      </c>
      <c r="AG21" s="1247">
        <f t="shared" si="25"/>
        <v>0</v>
      </c>
      <c r="AH21" s="1245">
        <f t="shared" si="26"/>
        <v>6.433352026317448</v>
      </c>
      <c r="AI21" s="1246">
        <f t="shared" si="27"/>
        <v>0</v>
      </c>
      <c r="AJ21" s="1246">
        <f t="shared" si="28"/>
        <v>0</v>
      </c>
      <c r="AK21" s="1246">
        <f t="shared" si="29"/>
        <v>0</v>
      </c>
      <c r="AL21" s="1246">
        <f t="shared" si="30"/>
        <v>0</v>
      </c>
      <c r="AM21" s="1247">
        <f t="shared" si="31"/>
        <v>0</v>
      </c>
      <c r="AN21" s="1176">
        <v>2019</v>
      </c>
      <c r="AO21" s="1322">
        <f t="array" ref="AO21">1/SUMPRODUCT(IFERROR(1/V21:AA21,0),'Mkt Pen Veh-Mi'!B21:G21)</f>
        <v>6.433352026317448</v>
      </c>
      <c r="AP21" s="1323">
        <f t="array" ref="AP21">1/SUMPRODUCT(IFERROR(1/AB21:AG21,0),'Mkt Pen Veh-Mi'!H21:M21)</f>
        <v>6.433352026317448</v>
      </c>
      <c r="AQ21" s="1327">
        <f t="array" ref="AQ21">1/SUMPRODUCT(IFERROR(1/AH21:AM21,0),'Mkt Pen Veh-Mi'!N21:S21)</f>
        <v>6.433352026317448</v>
      </c>
      <c r="AR21" s="1320">
        <v>2019</v>
      </c>
      <c r="AS21" s="1322">
        <f t="shared" si="32"/>
        <v>1</v>
      </c>
      <c r="AT21" s="1323">
        <f t="shared" si="33"/>
        <v>1</v>
      </c>
      <c r="AU21" s="1323">
        <f t="shared" si="34"/>
        <v>1</v>
      </c>
      <c r="AV21" s="1327">
        <v>1</v>
      </c>
    </row>
    <row r="22" spans="1:48" s="1176" customFormat="1" ht="15" x14ac:dyDescent="0.25">
      <c r="A22" s="1197">
        <v>2020</v>
      </c>
      <c r="B22" s="1248">
        <f>IF('Mkt Pen Veh-Mi'!B22=0,1,1/((1-Fuel2ShrbyTech!B23)/'Inputs 7&amp;8 Sleep'!$N35+Fuel2ShrbyTech!B23/'Inputs 7&amp;8 Sleep'!$T35))</f>
        <v>6.4864337636120455</v>
      </c>
      <c r="C22" s="1249">
        <f>IF('Mkt Pen Veh-Mi'!C22=0,1,1/((1-Fuel2ShrbyTech!C23)/'Inputs 7&amp;8 Sleep'!$O35+Fuel2ShrbyTech!C23/'Inputs 7&amp;8 Sleep'!$U35))</f>
        <v>1</v>
      </c>
      <c r="D22" s="1249">
        <f>IF('Mkt Pen Veh-Mi'!D22=0,1,1/((1-Fuel2ShrbyTech!D23)/'Inputs 7&amp;8 Sleep'!$P35+Fuel2ShrbyTech!D23/'Inputs 7&amp;8 Sleep'!$V35))</f>
        <v>1</v>
      </c>
      <c r="E22" s="1249">
        <f>IF('Mkt Pen Veh-Mi'!E22=0,1,1/((1-Fuel2ShrbyTech!E23)/'Inputs 7&amp;8 Sleep'!$Q35+Fuel2ShrbyTech!E23/'Inputs 7&amp;8 Sleep'!$W35))</f>
        <v>1</v>
      </c>
      <c r="F22" s="1249">
        <f>IF('Mkt Pen Veh-Mi'!F22=0,1,1/((1-Fuel2ShrbyTech!F23)/'Inputs 7&amp;8 Sleep'!$R35+Fuel2ShrbyTech!F23/'Inputs 7&amp;8 Sleep'!$X35))</f>
        <v>1</v>
      </c>
      <c r="G22" s="1250">
        <f>IF('Mkt Pen Veh-Mi'!G22=0,1,1/((1-Fuel2ShrbyTech!G23)/'Inputs 7&amp;8 Sleep'!$S35+Fuel2ShrbyTech!G23/'Inputs 7&amp;8 Sleep'!$Y35))</f>
        <v>1</v>
      </c>
      <c r="H22" s="1248">
        <f>IF('Mkt Pen Veh-Mi'!H22=0,1,1/((1-Fuel2ShrbyTech!H23)/'Inputs 7&amp;8 Day'!$N35+Fuel2ShrbyTech!H23/'Inputs 7&amp;8 Day'!$T35))</f>
        <v>6.4864337636120455</v>
      </c>
      <c r="I22" s="1249">
        <f>IF('Mkt Pen Veh-Mi'!I22=0,1,1/((1-Fuel2ShrbyTech!I23)/'Inputs 7&amp;8 Day'!$O35+Fuel2ShrbyTech!I23/'Inputs 7&amp;8 Day'!$U35))</f>
        <v>1</v>
      </c>
      <c r="J22" s="1249">
        <f>IF('Mkt Pen Veh-Mi'!J22=0,1,1/((1-Fuel2ShrbyTech!J23)/'Inputs 7&amp;8 Day'!$P35+Fuel2ShrbyTech!J23/'Inputs 7&amp;8 Day'!$V35))</f>
        <v>1</v>
      </c>
      <c r="K22" s="1249">
        <f>IF('Mkt Pen Veh-Mi'!K22=0,1,1/((1-Fuel2ShrbyTech!K23)/'Inputs 7&amp;8 Day'!$Q35+Fuel2ShrbyTech!K23/'Inputs 7&amp;8 Day'!$W35))</f>
        <v>1</v>
      </c>
      <c r="L22" s="1249">
        <f>IF('Mkt Pen Veh-Mi'!L22=0,1,1/((1-Fuel2ShrbyTech!L23)/'Inputs 7&amp;8 Day'!$R35+Fuel2ShrbyTech!L23/'Inputs 7&amp;8 Day'!$X35))</f>
        <v>1</v>
      </c>
      <c r="M22" s="1250">
        <f>IF('Mkt Pen Veh-Mi'!M22=0,1,1/((1-Fuel2ShrbyTech!M23)/'Inputs 7&amp;8 Day'!$S35+Fuel2ShrbyTech!M23/'Inputs 7&amp;8 Day'!$Y35))</f>
        <v>1</v>
      </c>
      <c r="N22" s="1248">
        <f>IF('Mkt Pen Veh-Mi'!N22=0,1,1/((1-Fuel2ShrbyTech!N23)/'Inputs 7&amp;8 SU'!$N35+Fuel2ShrbyTech!N23/'Inputs 7&amp;8 SU'!$T35))</f>
        <v>6.4864337636120455</v>
      </c>
      <c r="O22" s="1249">
        <f>IF('Mkt Pen Veh-Mi'!O22=0,1,1/((1-Fuel2ShrbyTech!O23)/'Inputs 7&amp;8 SU'!$O35+Fuel2ShrbyTech!O23/'Inputs 7&amp;8 SU'!$U35))</f>
        <v>1</v>
      </c>
      <c r="P22" s="1249">
        <f>IF('Mkt Pen Veh-Mi'!P22=0,1,1/((1-Fuel2ShrbyTech!P23)/'Inputs 7&amp;8 SU'!$P35+Fuel2ShrbyTech!P23/'Inputs 7&amp;8 SU'!$V35))</f>
        <v>1</v>
      </c>
      <c r="Q22" s="1249">
        <f>IF('Mkt Pen Veh-Mi'!Q22=0,1,1/((1-Fuel2ShrbyTech!Q23)/'Inputs 7&amp;8 SU'!$Q35+Fuel2ShrbyTech!Q23/'Inputs 7&amp;8 SU'!$W35))</f>
        <v>1</v>
      </c>
      <c r="R22" s="1249">
        <f>IF('Mkt Pen Veh-Mi'!R22=0,1,1/((1-Fuel2ShrbyTech!R23)/'Inputs 7&amp;8 SU'!$R35+Fuel2ShrbyTech!R23/'Inputs 7&amp;8 SU'!$X35))</f>
        <v>1</v>
      </c>
      <c r="S22" s="1250">
        <f>IF('Mkt Pen Veh-Mi'!S22=0,1,1/((1-Fuel2ShrbyTech!S23)/'Inputs 7&amp;8 SU'!$S35+Fuel2ShrbyTech!S23/'Inputs 7&amp;8 SU'!$Y35))</f>
        <v>1</v>
      </c>
      <c r="U22" s="1197">
        <f t="shared" si="13"/>
        <v>2020</v>
      </c>
      <c r="V22" s="1248">
        <f t="shared" si="14"/>
        <v>6.4864337636120455</v>
      </c>
      <c r="W22" s="1249">
        <f t="shared" si="15"/>
        <v>0</v>
      </c>
      <c r="X22" s="1249">
        <f t="shared" si="16"/>
        <v>0</v>
      </c>
      <c r="Y22" s="1249">
        <f t="shared" si="17"/>
        <v>0</v>
      </c>
      <c r="Z22" s="1249">
        <f t="shared" si="18"/>
        <v>0</v>
      </c>
      <c r="AA22" s="1250">
        <f t="shared" si="19"/>
        <v>0</v>
      </c>
      <c r="AB22" s="1248">
        <f t="shared" si="20"/>
        <v>6.4864337636120455</v>
      </c>
      <c r="AC22" s="1249">
        <f t="shared" si="21"/>
        <v>0</v>
      </c>
      <c r="AD22" s="1249">
        <f t="shared" si="22"/>
        <v>0</v>
      </c>
      <c r="AE22" s="1249">
        <f t="shared" si="23"/>
        <v>0</v>
      </c>
      <c r="AF22" s="1249">
        <f t="shared" si="24"/>
        <v>0</v>
      </c>
      <c r="AG22" s="1250">
        <f t="shared" si="25"/>
        <v>0</v>
      </c>
      <c r="AH22" s="1248">
        <f t="shared" si="26"/>
        <v>6.4864337636120455</v>
      </c>
      <c r="AI22" s="1249">
        <f t="shared" si="27"/>
        <v>0</v>
      </c>
      <c r="AJ22" s="1249">
        <f t="shared" si="28"/>
        <v>0</v>
      </c>
      <c r="AK22" s="1249">
        <f t="shared" si="29"/>
        <v>0</v>
      </c>
      <c r="AL22" s="1249">
        <f t="shared" si="30"/>
        <v>0</v>
      </c>
      <c r="AM22" s="1250">
        <f t="shared" si="31"/>
        <v>0</v>
      </c>
      <c r="AN22" s="1176">
        <v>2020</v>
      </c>
      <c r="AO22" s="1322">
        <f t="array" ref="AO22">1/SUMPRODUCT(IFERROR(1/V22:AA22,0),'Mkt Pen Veh-Mi'!B22:G22)</f>
        <v>6.4864337636120455</v>
      </c>
      <c r="AP22" s="1323">
        <f t="array" ref="AP22">1/SUMPRODUCT(IFERROR(1/AB22:AG22,0),'Mkt Pen Veh-Mi'!H22:M22)</f>
        <v>6.4864337636120455</v>
      </c>
      <c r="AQ22" s="1327">
        <f t="array" ref="AQ22">1/SUMPRODUCT(IFERROR(1/AH22:AM22,0),'Mkt Pen Veh-Mi'!N22:S22)</f>
        <v>6.4864337636120455</v>
      </c>
      <c r="AR22" s="1320">
        <v>2020</v>
      </c>
      <c r="AS22" s="1322">
        <f t="shared" si="32"/>
        <v>1</v>
      </c>
      <c r="AT22" s="1323">
        <f t="shared" si="33"/>
        <v>1</v>
      </c>
      <c r="AU22" s="1323">
        <f t="shared" si="34"/>
        <v>1</v>
      </c>
      <c r="AV22" s="1327">
        <v>1</v>
      </c>
    </row>
    <row r="23" spans="1:48" s="1176" customFormat="1" ht="15" x14ac:dyDescent="0.25">
      <c r="A23" s="1191">
        <v>2021</v>
      </c>
      <c r="B23" s="1251">
        <f>IF('Mkt Pen Veh-Mi'!B23=0,1,1/((1-Fuel2ShrbyTech!B24)/'Inputs 7&amp;8 Sleep'!$N36+Fuel2ShrbyTech!B24/'Inputs 7&amp;8 Sleep'!$T36))</f>
        <v>6.4888939494054592</v>
      </c>
      <c r="C23" s="1252">
        <f>IF('Mkt Pen Veh-Mi'!C23=0,1,1/((1-Fuel2ShrbyTech!C24)/'Inputs 7&amp;8 Sleep'!$O36+Fuel2ShrbyTech!C24/'Inputs 7&amp;8 Sleep'!$U36))</f>
        <v>1</v>
      </c>
      <c r="D23" s="1252">
        <f>IF('Mkt Pen Veh-Mi'!D23=0,1,1/((1-Fuel2ShrbyTech!D24)/'Inputs 7&amp;8 Sleep'!$P36+Fuel2ShrbyTech!D24/'Inputs 7&amp;8 Sleep'!$V36))</f>
        <v>1</v>
      </c>
      <c r="E23" s="1252">
        <f>IF('Mkt Pen Veh-Mi'!E23=0,1,1/((1-Fuel2ShrbyTech!E24)/'Inputs 7&amp;8 Sleep'!$Q36+Fuel2ShrbyTech!E24/'Inputs 7&amp;8 Sleep'!$W36))</f>
        <v>1</v>
      </c>
      <c r="F23" s="1252">
        <f>IF('Mkt Pen Veh-Mi'!F23=0,1,1/((1-Fuel2ShrbyTech!F24)/'Inputs 7&amp;8 Sleep'!$R36+Fuel2ShrbyTech!F24/'Inputs 7&amp;8 Sleep'!$X36))</f>
        <v>1</v>
      </c>
      <c r="G23" s="1253">
        <f>IF('Mkt Pen Veh-Mi'!G23=0,1,1/((1-Fuel2ShrbyTech!G24)/'Inputs 7&amp;8 Sleep'!$S36+Fuel2ShrbyTech!G24/'Inputs 7&amp;8 Sleep'!$Y36))</f>
        <v>1</v>
      </c>
      <c r="H23" s="1251">
        <f>IF('Mkt Pen Veh-Mi'!H23=0,1,1/((1-Fuel2ShrbyTech!H24)/'Inputs 7&amp;8 Day'!$N36+Fuel2ShrbyTech!H24/'Inputs 7&amp;8 Day'!$T36))</f>
        <v>6.3480818446503209</v>
      </c>
      <c r="I23" s="1252">
        <f>IF('Mkt Pen Veh-Mi'!I23=0,1,1/((1-Fuel2ShrbyTech!I24)/'Inputs 7&amp;8 Day'!$O36+Fuel2ShrbyTech!I24/'Inputs 7&amp;8 Day'!$U36))</f>
        <v>1</v>
      </c>
      <c r="J23" s="1252">
        <f>IF('Mkt Pen Veh-Mi'!J23=0,1,1/((1-Fuel2ShrbyTech!J24)/'Inputs 7&amp;8 Day'!$P36+Fuel2ShrbyTech!J24/'Inputs 7&amp;8 Day'!$V36))</f>
        <v>1</v>
      </c>
      <c r="K23" s="1252">
        <f>IF('Mkt Pen Veh-Mi'!K23=0,1,1/((1-Fuel2ShrbyTech!K24)/'Inputs 7&amp;8 Day'!$Q36+Fuel2ShrbyTech!K24/'Inputs 7&amp;8 Day'!$W36))</f>
        <v>1</v>
      </c>
      <c r="L23" s="1252">
        <f>IF('Mkt Pen Veh-Mi'!L23=0,1,1/((1-Fuel2ShrbyTech!L24)/'Inputs 7&amp;8 Day'!$R36+Fuel2ShrbyTech!L24/'Inputs 7&amp;8 Day'!$X36))</f>
        <v>1</v>
      </c>
      <c r="M23" s="1253">
        <f>IF('Mkt Pen Veh-Mi'!M23=0,1,1/((1-Fuel2ShrbyTech!M24)/'Inputs 7&amp;8 Day'!$S36+Fuel2ShrbyTech!M24/'Inputs 7&amp;8 Day'!$Y36))</f>
        <v>1</v>
      </c>
      <c r="N23" s="1251">
        <f>IF('Mkt Pen Veh-Mi'!N23=0,1,1/((1-Fuel2ShrbyTech!N24)/'Inputs 7&amp;8 SU'!$N36+Fuel2ShrbyTech!N24/'Inputs 7&amp;8 SU'!$T36))</f>
        <v>6.1940987651005122</v>
      </c>
      <c r="O23" s="1252">
        <f>IF('Mkt Pen Veh-Mi'!O23=0,1,1/((1-Fuel2ShrbyTech!O24)/'Inputs 7&amp;8 SU'!$O36+Fuel2ShrbyTech!O24/'Inputs 7&amp;8 SU'!$U36))</f>
        <v>1</v>
      </c>
      <c r="P23" s="1252">
        <f>IF('Mkt Pen Veh-Mi'!P23=0,1,1/((1-Fuel2ShrbyTech!P24)/'Inputs 7&amp;8 SU'!$P36+Fuel2ShrbyTech!P24/'Inputs 7&amp;8 SU'!$V36))</f>
        <v>1</v>
      </c>
      <c r="Q23" s="1252">
        <f>IF('Mkt Pen Veh-Mi'!Q23=0,1,1/((1-Fuel2ShrbyTech!Q24)/'Inputs 7&amp;8 SU'!$Q36+Fuel2ShrbyTech!Q24/'Inputs 7&amp;8 SU'!$W36))</f>
        <v>1</v>
      </c>
      <c r="R23" s="1252">
        <f>IF('Mkt Pen Veh-Mi'!R23=0,1,1/((1-Fuel2ShrbyTech!R24)/'Inputs 7&amp;8 SU'!$R36+Fuel2ShrbyTech!R24/'Inputs 7&amp;8 SU'!$X36))</f>
        <v>1</v>
      </c>
      <c r="S23" s="1253">
        <f>IF('Mkt Pen Veh-Mi'!S23=0,1,1/((1-Fuel2ShrbyTech!S24)/'Inputs 7&amp;8 SU'!$S36+Fuel2ShrbyTech!S24/'Inputs 7&amp;8 SU'!$Y36))</f>
        <v>1</v>
      </c>
      <c r="U23" s="1191">
        <f t="shared" si="13"/>
        <v>2021</v>
      </c>
      <c r="V23" s="1251">
        <f t="shared" si="14"/>
        <v>6.4888939494054592</v>
      </c>
      <c r="W23" s="1252">
        <f t="shared" si="15"/>
        <v>0</v>
      </c>
      <c r="X23" s="1252">
        <f t="shared" si="16"/>
        <v>0</v>
      </c>
      <c r="Y23" s="1252">
        <f t="shared" si="17"/>
        <v>0</v>
      </c>
      <c r="Z23" s="1252">
        <f t="shared" si="18"/>
        <v>0</v>
      </c>
      <c r="AA23" s="1253">
        <f t="shared" si="19"/>
        <v>0</v>
      </c>
      <c r="AB23" s="1251">
        <f t="shared" si="20"/>
        <v>6.3480818446503209</v>
      </c>
      <c r="AC23" s="1252">
        <f t="shared" si="21"/>
        <v>0</v>
      </c>
      <c r="AD23" s="1252">
        <f t="shared" si="22"/>
        <v>0</v>
      </c>
      <c r="AE23" s="1252">
        <f t="shared" si="23"/>
        <v>0</v>
      </c>
      <c r="AF23" s="1252">
        <f t="shared" si="24"/>
        <v>0</v>
      </c>
      <c r="AG23" s="1253">
        <f t="shared" si="25"/>
        <v>0</v>
      </c>
      <c r="AH23" s="1251">
        <f t="shared" si="26"/>
        <v>6.1940987651005122</v>
      </c>
      <c r="AI23" s="1252">
        <f t="shared" si="27"/>
        <v>0</v>
      </c>
      <c r="AJ23" s="1252">
        <f t="shared" si="28"/>
        <v>0</v>
      </c>
      <c r="AK23" s="1252">
        <f t="shared" si="29"/>
        <v>0</v>
      </c>
      <c r="AL23" s="1252">
        <f t="shared" si="30"/>
        <v>0</v>
      </c>
      <c r="AM23" s="1253">
        <f t="shared" si="31"/>
        <v>0</v>
      </c>
      <c r="AN23" s="1176">
        <v>2021</v>
      </c>
      <c r="AO23" s="1322">
        <f t="array" ref="AO23">1/SUMPRODUCT(IFERROR(1/V23:AA23,0),'Mkt Pen Veh-Mi'!B23:G23)</f>
        <v>6.4888939494054592</v>
      </c>
      <c r="AP23" s="1323">
        <f t="array" ref="AP23">1/SUMPRODUCT(IFERROR(1/AB23:AG23,0),'Mkt Pen Veh-Mi'!H23:M23)</f>
        <v>6.3480818446503209</v>
      </c>
      <c r="AQ23" s="1327">
        <f t="array" ref="AQ23">1/SUMPRODUCT(IFERROR(1/AH23:AM23,0),'Mkt Pen Veh-Mi'!N23:S23)</f>
        <v>6.1940987651005122</v>
      </c>
      <c r="AR23" s="1320">
        <v>2021</v>
      </c>
      <c r="AS23" s="1322">
        <f t="shared" si="32"/>
        <v>1</v>
      </c>
      <c r="AT23" s="1323">
        <f t="shared" si="33"/>
        <v>1</v>
      </c>
      <c r="AU23" s="1323">
        <f t="shared" si="34"/>
        <v>1</v>
      </c>
      <c r="AV23" s="1327">
        <v>1.0014357770328348</v>
      </c>
    </row>
    <row r="24" spans="1:48" s="1176" customFormat="1" ht="15" x14ac:dyDescent="0.25">
      <c r="A24" s="1191">
        <v>2022</v>
      </c>
      <c r="B24" s="1245">
        <f>IF('Mkt Pen Veh-Mi'!B24=0,1,1/((1-Fuel2ShrbyTech!B25)/'Inputs 7&amp;8 Sleep'!$N37+Fuel2ShrbyTech!B25/'Inputs 7&amp;8 Sleep'!$T37))</f>
        <v>6.618661358461285</v>
      </c>
      <c r="C24" s="1246">
        <f>IF('Mkt Pen Veh-Mi'!C24=0,1,1/((1-Fuel2ShrbyTech!C25)/'Inputs 7&amp;8 Sleep'!$O37+Fuel2ShrbyTech!C25/'Inputs 7&amp;8 Sleep'!$U37))</f>
        <v>1</v>
      </c>
      <c r="D24" s="1246">
        <f>IF('Mkt Pen Veh-Mi'!D24=0,1,1/((1-Fuel2ShrbyTech!D25)/'Inputs 7&amp;8 Sleep'!$P37+Fuel2ShrbyTech!D25/'Inputs 7&amp;8 Sleep'!$V37))</f>
        <v>1</v>
      </c>
      <c r="E24" s="1246">
        <f>IF('Mkt Pen Veh-Mi'!E24=0,1,1/((1-Fuel2ShrbyTech!E25)/'Inputs 7&amp;8 Sleep'!$Q37+Fuel2ShrbyTech!E25/'Inputs 7&amp;8 Sleep'!$W37))</f>
        <v>1</v>
      </c>
      <c r="F24" s="1246">
        <f>IF('Mkt Pen Veh-Mi'!F24=0,1,1/((1-Fuel2ShrbyTech!F25)/'Inputs 7&amp;8 Sleep'!$R37+Fuel2ShrbyTech!F25/'Inputs 7&amp;8 Sleep'!$X37))</f>
        <v>1</v>
      </c>
      <c r="G24" s="1247">
        <f>IF('Mkt Pen Veh-Mi'!G24=0,1,1/((1-Fuel2ShrbyTech!G25)/'Inputs 7&amp;8 Sleep'!$S37+Fuel2ShrbyTech!G25/'Inputs 7&amp;8 Sleep'!$Y37))</f>
        <v>1</v>
      </c>
      <c r="H24" s="1245">
        <f>IF('Mkt Pen Veh-Mi'!H24=0,1,1/((1-Fuel2ShrbyTech!H25)/'Inputs 7&amp;8 Day'!$N37+Fuel2ShrbyTech!H25/'Inputs 7&amp;8 Day'!$T37))</f>
        <v>6.4291000607445872</v>
      </c>
      <c r="I24" s="1246">
        <f>IF('Mkt Pen Veh-Mi'!I24=0,1,1/((1-Fuel2ShrbyTech!I25)/'Inputs 7&amp;8 Day'!$O37+Fuel2ShrbyTech!I25/'Inputs 7&amp;8 Day'!$U37))</f>
        <v>1</v>
      </c>
      <c r="J24" s="1246">
        <f>IF('Mkt Pen Veh-Mi'!J24=0,1,1/((1-Fuel2ShrbyTech!J25)/'Inputs 7&amp;8 Day'!$P37+Fuel2ShrbyTech!J25/'Inputs 7&amp;8 Day'!$V37))</f>
        <v>1</v>
      </c>
      <c r="K24" s="1246">
        <f>IF('Mkt Pen Veh-Mi'!K24=0,1,1/((1-Fuel2ShrbyTech!K25)/'Inputs 7&amp;8 Day'!$Q37+Fuel2ShrbyTech!K25/'Inputs 7&amp;8 Day'!$W37))</f>
        <v>1</v>
      </c>
      <c r="L24" s="1246">
        <f>IF('Mkt Pen Veh-Mi'!L24=0,1,1/((1-Fuel2ShrbyTech!L25)/'Inputs 7&amp;8 Day'!$R37+Fuel2ShrbyTech!L25/'Inputs 7&amp;8 Day'!$X37))</f>
        <v>1</v>
      </c>
      <c r="M24" s="1247">
        <f>IF('Mkt Pen Veh-Mi'!M24=0,1,1/((1-Fuel2ShrbyTech!M25)/'Inputs 7&amp;8 Day'!$S37+Fuel2ShrbyTech!M25/'Inputs 7&amp;8 Day'!$Y37))</f>
        <v>1</v>
      </c>
      <c r="N24" s="1245">
        <f>IF('Mkt Pen Veh-Mi'!N24=0,1,1/((1-Fuel2ShrbyTech!N25)/'Inputs 7&amp;8 SU'!$N37+Fuel2ShrbyTech!N25/'Inputs 7&amp;8 SU'!$T37))</f>
        <v>6.3185291641470558</v>
      </c>
      <c r="O24" s="1246">
        <f>IF('Mkt Pen Veh-Mi'!O24=0,1,1/((1-Fuel2ShrbyTech!O25)/'Inputs 7&amp;8 SU'!$O37+Fuel2ShrbyTech!O25/'Inputs 7&amp;8 SU'!$U37))</f>
        <v>1</v>
      </c>
      <c r="P24" s="1246">
        <f>IF('Mkt Pen Veh-Mi'!P24=0,1,1/((1-Fuel2ShrbyTech!P25)/'Inputs 7&amp;8 SU'!$P37+Fuel2ShrbyTech!P25/'Inputs 7&amp;8 SU'!$V37))</f>
        <v>1</v>
      </c>
      <c r="Q24" s="1246">
        <f>IF('Mkt Pen Veh-Mi'!Q24=0,1,1/((1-Fuel2ShrbyTech!Q25)/'Inputs 7&amp;8 SU'!$Q37+Fuel2ShrbyTech!Q25/'Inputs 7&amp;8 SU'!$W37))</f>
        <v>1</v>
      </c>
      <c r="R24" s="1246">
        <f>IF('Mkt Pen Veh-Mi'!R24=0,1,1/((1-Fuel2ShrbyTech!R25)/'Inputs 7&amp;8 SU'!$R37+Fuel2ShrbyTech!R25/'Inputs 7&amp;8 SU'!$X37))</f>
        <v>1</v>
      </c>
      <c r="S24" s="1247">
        <f>IF('Mkt Pen Veh-Mi'!S24=0,1,1/((1-Fuel2ShrbyTech!S25)/'Inputs 7&amp;8 SU'!$S37+Fuel2ShrbyTech!S25/'Inputs 7&amp;8 SU'!$Y37))</f>
        <v>1</v>
      </c>
      <c r="U24" s="1191">
        <f t="shared" si="13"/>
        <v>2022</v>
      </c>
      <c r="V24" s="1245">
        <f t="shared" si="14"/>
        <v>6.618661358461285</v>
      </c>
      <c r="W24" s="1246">
        <f t="shared" si="15"/>
        <v>0</v>
      </c>
      <c r="X24" s="1246">
        <f t="shared" si="16"/>
        <v>0</v>
      </c>
      <c r="Y24" s="1246">
        <f t="shared" si="17"/>
        <v>0</v>
      </c>
      <c r="Z24" s="1246">
        <f t="shared" si="18"/>
        <v>0</v>
      </c>
      <c r="AA24" s="1247">
        <f t="shared" si="19"/>
        <v>0</v>
      </c>
      <c r="AB24" s="1245">
        <f t="shared" si="20"/>
        <v>6.4291000607445872</v>
      </c>
      <c r="AC24" s="1246">
        <f t="shared" si="21"/>
        <v>0</v>
      </c>
      <c r="AD24" s="1246">
        <f t="shared" si="22"/>
        <v>0</v>
      </c>
      <c r="AE24" s="1246">
        <f t="shared" si="23"/>
        <v>0</v>
      </c>
      <c r="AF24" s="1246">
        <f t="shared" si="24"/>
        <v>0</v>
      </c>
      <c r="AG24" s="1247">
        <f t="shared" si="25"/>
        <v>0</v>
      </c>
      <c r="AH24" s="1245">
        <f t="shared" si="26"/>
        <v>6.3185291641470558</v>
      </c>
      <c r="AI24" s="1246">
        <f t="shared" si="27"/>
        <v>0</v>
      </c>
      <c r="AJ24" s="1246">
        <f t="shared" si="28"/>
        <v>0</v>
      </c>
      <c r="AK24" s="1246">
        <f t="shared" si="29"/>
        <v>0</v>
      </c>
      <c r="AL24" s="1246">
        <f t="shared" si="30"/>
        <v>0</v>
      </c>
      <c r="AM24" s="1247">
        <f t="shared" si="31"/>
        <v>0</v>
      </c>
      <c r="AN24" s="1176">
        <v>2022</v>
      </c>
      <c r="AO24" s="1322">
        <f t="array" ref="AO24">1/SUMPRODUCT(IFERROR(1/V24:AA24,0),'Mkt Pen Veh-Mi'!B24:G24)</f>
        <v>6.618661358461285</v>
      </c>
      <c r="AP24" s="1323">
        <f t="array" ref="AP24">1/SUMPRODUCT(IFERROR(1/AB24:AG24,0),'Mkt Pen Veh-Mi'!H24:M24)</f>
        <v>6.4291000607445872</v>
      </c>
      <c r="AQ24" s="1327">
        <f t="array" ref="AQ24">1/SUMPRODUCT(IFERROR(1/AH24:AM24,0),'Mkt Pen Veh-Mi'!N24:S24)</f>
        <v>6.3185291641470558</v>
      </c>
      <c r="AR24" s="1320">
        <v>2022</v>
      </c>
      <c r="AS24" s="1322">
        <f t="shared" si="32"/>
        <v>1</v>
      </c>
      <c r="AT24" s="1323">
        <f t="shared" si="33"/>
        <v>1</v>
      </c>
      <c r="AU24" s="1323">
        <f t="shared" si="34"/>
        <v>1</v>
      </c>
      <c r="AV24" s="1327">
        <v>1.0062505931411208</v>
      </c>
    </row>
    <row r="25" spans="1:48" s="1176" customFormat="1" ht="15" x14ac:dyDescent="0.25">
      <c r="A25" s="1191">
        <v>2023</v>
      </c>
      <c r="B25" s="1245">
        <f>IF('Mkt Pen Veh-Mi'!B25=0,1,1/((1-Fuel2ShrbyTech!B26)/'Inputs 7&amp;8 Sleep'!$N38+Fuel2ShrbyTech!B26/'Inputs 7&amp;8 Sleep'!$T38))</f>
        <v>6.7394727631646916</v>
      </c>
      <c r="C25" s="1246">
        <f>IF('Mkt Pen Veh-Mi'!C25=0,1,1/((1-Fuel2ShrbyTech!C26)/'Inputs 7&amp;8 Sleep'!$O38+Fuel2ShrbyTech!C26/'Inputs 7&amp;8 Sleep'!$U38))</f>
        <v>1</v>
      </c>
      <c r="D25" s="1246">
        <f>IF('Mkt Pen Veh-Mi'!D25=0,1,1/((1-Fuel2ShrbyTech!D26)/'Inputs 7&amp;8 Sleep'!$P38+Fuel2ShrbyTech!D26/'Inputs 7&amp;8 Sleep'!$V38))</f>
        <v>1</v>
      </c>
      <c r="E25" s="1246">
        <f>IF('Mkt Pen Veh-Mi'!E25=0,1,1/((1-Fuel2ShrbyTech!E26)/'Inputs 7&amp;8 Sleep'!$Q38+Fuel2ShrbyTech!E26/'Inputs 7&amp;8 Sleep'!$W38))</f>
        <v>1</v>
      </c>
      <c r="F25" s="1246">
        <f>IF('Mkt Pen Veh-Mi'!F25=0,1,1/((1-Fuel2ShrbyTech!F26)/'Inputs 7&amp;8 Sleep'!$R38+Fuel2ShrbyTech!F26/'Inputs 7&amp;8 Sleep'!$X38))</f>
        <v>1</v>
      </c>
      <c r="G25" s="1247">
        <f>IF('Mkt Pen Veh-Mi'!G25=0,1,1/((1-Fuel2ShrbyTech!G26)/'Inputs 7&amp;8 Sleep'!$S38+Fuel2ShrbyTech!G26/'Inputs 7&amp;8 Sleep'!$Y38))</f>
        <v>1</v>
      </c>
      <c r="H25" s="1245">
        <f>IF('Mkt Pen Veh-Mi'!H25=0,1,1/((1-Fuel2ShrbyTech!H26)/'Inputs 7&amp;8 Day'!$N38+Fuel2ShrbyTech!H26/'Inputs 7&amp;8 Day'!$T38))</f>
        <v>6.5254599640226782</v>
      </c>
      <c r="I25" s="1246">
        <f>IF('Mkt Pen Veh-Mi'!I25=0,1,1/((1-Fuel2ShrbyTech!I26)/'Inputs 7&amp;8 Day'!$O38+Fuel2ShrbyTech!I26/'Inputs 7&amp;8 Day'!$U38))</f>
        <v>1</v>
      </c>
      <c r="J25" s="1246">
        <f>IF('Mkt Pen Veh-Mi'!J25=0,1,1/((1-Fuel2ShrbyTech!J26)/'Inputs 7&amp;8 Day'!$P38+Fuel2ShrbyTech!J26/'Inputs 7&amp;8 Day'!$V38))</f>
        <v>1</v>
      </c>
      <c r="K25" s="1246">
        <f>IF('Mkt Pen Veh-Mi'!K25=0,1,1/((1-Fuel2ShrbyTech!K26)/'Inputs 7&amp;8 Day'!$Q38+Fuel2ShrbyTech!K26/'Inputs 7&amp;8 Day'!$W38))</f>
        <v>1</v>
      </c>
      <c r="L25" s="1246">
        <f>IF('Mkt Pen Veh-Mi'!L25=0,1,1/((1-Fuel2ShrbyTech!L26)/'Inputs 7&amp;8 Day'!$R38+Fuel2ShrbyTech!L26/'Inputs 7&amp;8 Day'!$X38))</f>
        <v>1</v>
      </c>
      <c r="M25" s="1247">
        <f>IF('Mkt Pen Veh-Mi'!M25=0,1,1/((1-Fuel2ShrbyTech!M26)/'Inputs 7&amp;8 Day'!$S38+Fuel2ShrbyTech!M26/'Inputs 7&amp;8 Day'!$Y38))</f>
        <v>1</v>
      </c>
      <c r="N25" s="1245">
        <f>IF('Mkt Pen Veh-Mi'!N25=0,1,1/((1-Fuel2ShrbyTech!N26)/'Inputs 7&amp;8 SU'!$N38+Fuel2ShrbyTech!N26/'Inputs 7&amp;8 SU'!$T38))</f>
        <v>6.4751097824714527</v>
      </c>
      <c r="O25" s="1246">
        <f>IF('Mkt Pen Veh-Mi'!O25=0,1,1/((1-Fuel2ShrbyTech!O26)/'Inputs 7&amp;8 SU'!$O38+Fuel2ShrbyTech!O26/'Inputs 7&amp;8 SU'!$U38))</f>
        <v>1</v>
      </c>
      <c r="P25" s="1246">
        <f>IF('Mkt Pen Veh-Mi'!P25=0,1,1/((1-Fuel2ShrbyTech!P26)/'Inputs 7&amp;8 SU'!$P38+Fuel2ShrbyTech!P26/'Inputs 7&amp;8 SU'!$V38))</f>
        <v>1</v>
      </c>
      <c r="Q25" s="1246">
        <f>IF('Mkt Pen Veh-Mi'!Q25=0,1,1/((1-Fuel2ShrbyTech!Q26)/'Inputs 7&amp;8 SU'!$Q38+Fuel2ShrbyTech!Q26/'Inputs 7&amp;8 SU'!$W38))</f>
        <v>1</v>
      </c>
      <c r="R25" s="1246">
        <f>IF('Mkt Pen Veh-Mi'!R25=0,1,1/((1-Fuel2ShrbyTech!R26)/'Inputs 7&amp;8 SU'!$R38+Fuel2ShrbyTech!R26/'Inputs 7&amp;8 SU'!$X38))</f>
        <v>1</v>
      </c>
      <c r="S25" s="1247">
        <f>IF('Mkt Pen Veh-Mi'!S25=0,1,1/((1-Fuel2ShrbyTech!S26)/'Inputs 7&amp;8 SU'!$S38+Fuel2ShrbyTech!S26/'Inputs 7&amp;8 SU'!$Y38))</f>
        <v>1</v>
      </c>
      <c r="U25" s="1191">
        <f t="shared" si="13"/>
        <v>2023</v>
      </c>
      <c r="V25" s="1245">
        <f t="shared" si="14"/>
        <v>6.7394727631646916</v>
      </c>
      <c r="W25" s="1246">
        <f t="shared" si="15"/>
        <v>0</v>
      </c>
      <c r="X25" s="1246">
        <f t="shared" si="16"/>
        <v>0</v>
      </c>
      <c r="Y25" s="1246">
        <f t="shared" si="17"/>
        <v>0</v>
      </c>
      <c r="Z25" s="1246">
        <f t="shared" si="18"/>
        <v>0</v>
      </c>
      <c r="AA25" s="1247">
        <f t="shared" si="19"/>
        <v>0</v>
      </c>
      <c r="AB25" s="1245">
        <f t="shared" si="20"/>
        <v>6.5254599640226782</v>
      </c>
      <c r="AC25" s="1246">
        <f t="shared" si="21"/>
        <v>0</v>
      </c>
      <c r="AD25" s="1246">
        <f t="shared" si="22"/>
        <v>0</v>
      </c>
      <c r="AE25" s="1246">
        <f t="shared" si="23"/>
        <v>0</v>
      </c>
      <c r="AF25" s="1246">
        <f t="shared" si="24"/>
        <v>0</v>
      </c>
      <c r="AG25" s="1247">
        <f t="shared" si="25"/>
        <v>0</v>
      </c>
      <c r="AH25" s="1245">
        <f t="shared" si="26"/>
        <v>6.4751097824714527</v>
      </c>
      <c r="AI25" s="1246">
        <f t="shared" si="27"/>
        <v>0</v>
      </c>
      <c r="AJ25" s="1246">
        <f t="shared" si="28"/>
        <v>0</v>
      </c>
      <c r="AK25" s="1246">
        <f t="shared" si="29"/>
        <v>0</v>
      </c>
      <c r="AL25" s="1246">
        <f t="shared" si="30"/>
        <v>0</v>
      </c>
      <c r="AM25" s="1247">
        <f t="shared" si="31"/>
        <v>0</v>
      </c>
      <c r="AN25" s="1176">
        <v>2023</v>
      </c>
      <c r="AO25" s="1322">
        <f t="array" ref="AO25">1/SUMPRODUCT(IFERROR(1/V25:AA25,0),'Mkt Pen Veh-Mi'!B25:G25)</f>
        <v>6.7394727631646916</v>
      </c>
      <c r="AP25" s="1323">
        <f t="array" ref="AP25">1/SUMPRODUCT(IFERROR(1/AB25:AG25,0),'Mkt Pen Veh-Mi'!H25:M25)</f>
        <v>6.5254599640226782</v>
      </c>
      <c r="AQ25" s="1327">
        <f t="array" ref="AQ25">1/SUMPRODUCT(IFERROR(1/AH25:AM25,0),'Mkt Pen Veh-Mi'!N25:S25)</f>
        <v>6.4751097824714527</v>
      </c>
      <c r="AR25" s="1320">
        <v>2023</v>
      </c>
      <c r="AS25" s="1322">
        <f t="shared" si="32"/>
        <v>1</v>
      </c>
      <c r="AT25" s="1323">
        <f t="shared" si="33"/>
        <v>1</v>
      </c>
      <c r="AU25" s="1323">
        <f t="shared" si="34"/>
        <v>1</v>
      </c>
      <c r="AV25" s="1327">
        <v>1.0208046069018777</v>
      </c>
    </row>
    <row r="26" spans="1:48" s="1176" customFormat="1" ht="15" x14ac:dyDescent="0.25">
      <c r="A26" s="1191">
        <v>2024</v>
      </c>
      <c r="B26" s="1245">
        <f>IF('Mkt Pen Veh-Mi'!B26=0,1,1/((1-Fuel2ShrbyTech!B27)/'Inputs 7&amp;8 Sleep'!$N39+Fuel2ShrbyTech!B27/'Inputs 7&amp;8 Sleep'!$T39))</f>
        <v>6.8995357521942369</v>
      </c>
      <c r="C26" s="1246">
        <f>IF('Mkt Pen Veh-Mi'!C26=0,1,1/((1-Fuel2ShrbyTech!C27)/'Inputs 7&amp;8 Sleep'!$O39+Fuel2ShrbyTech!C27/'Inputs 7&amp;8 Sleep'!$U39))</f>
        <v>1</v>
      </c>
      <c r="D26" s="1246">
        <f>IF('Mkt Pen Veh-Mi'!D26=0,1,1/((1-Fuel2ShrbyTech!D27)/'Inputs 7&amp;8 Sleep'!$P39+Fuel2ShrbyTech!D27/'Inputs 7&amp;8 Sleep'!$V39))</f>
        <v>1</v>
      </c>
      <c r="E26" s="1246">
        <f>IF('Mkt Pen Veh-Mi'!E26=0,1,1/((1-Fuel2ShrbyTech!E27)/'Inputs 7&amp;8 Sleep'!$Q39+Fuel2ShrbyTech!E27/'Inputs 7&amp;8 Sleep'!$W39))</f>
        <v>1</v>
      </c>
      <c r="F26" s="1246">
        <f>IF('Mkt Pen Veh-Mi'!F26=0,1,1/((1-Fuel2ShrbyTech!F27)/'Inputs 7&amp;8 Sleep'!$R39+Fuel2ShrbyTech!F27/'Inputs 7&amp;8 Sleep'!$X39))</f>
        <v>1</v>
      </c>
      <c r="G26" s="1247">
        <f>IF('Mkt Pen Veh-Mi'!G26=0,1,1/((1-Fuel2ShrbyTech!G27)/'Inputs 7&amp;8 Sleep'!$S39+Fuel2ShrbyTech!G27/'Inputs 7&amp;8 Sleep'!$Y39))</f>
        <v>1</v>
      </c>
      <c r="H26" s="1245">
        <f>IF('Mkt Pen Veh-Mi'!H26=0,1,1/((1-Fuel2ShrbyTech!H27)/'Inputs 7&amp;8 Day'!$N39+Fuel2ShrbyTech!H27/'Inputs 7&amp;8 Day'!$T39))</f>
        <v>6.6581303524586462</v>
      </c>
      <c r="I26" s="1246">
        <f>IF('Mkt Pen Veh-Mi'!I26=0,1,1/((1-Fuel2ShrbyTech!I27)/'Inputs 7&amp;8 Day'!$O39+Fuel2ShrbyTech!I27/'Inputs 7&amp;8 Day'!$U39))</f>
        <v>1</v>
      </c>
      <c r="J26" s="1246">
        <f>IF('Mkt Pen Veh-Mi'!J26=0,1,1/((1-Fuel2ShrbyTech!J27)/'Inputs 7&amp;8 Day'!$P39+Fuel2ShrbyTech!J27/'Inputs 7&amp;8 Day'!$V39))</f>
        <v>1</v>
      </c>
      <c r="K26" s="1246">
        <f>IF('Mkt Pen Veh-Mi'!K26=0,1,1/((1-Fuel2ShrbyTech!K27)/'Inputs 7&amp;8 Day'!$Q39+Fuel2ShrbyTech!K27/'Inputs 7&amp;8 Day'!$W39))</f>
        <v>1</v>
      </c>
      <c r="L26" s="1246">
        <f>IF('Mkt Pen Veh-Mi'!L26=0,1,1/((1-Fuel2ShrbyTech!L27)/'Inputs 7&amp;8 Day'!$R39+Fuel2ShrbyTech!L27/'Inputs 7&amp;8 Day'!$X39))</f>
        <v>1</v>
      </c>
      <c r="M26" s="1247">
        <f>IF('Mkt Pen Veh-Mi'!M26=0,1,1/((1-Fuel2ShrbyTech!M27)/'Inputs 7&amp;8 Day'!$S39+Fuel2ShrbyTech!M27/'Inputs 7&amp;8 Day'!$Y39))</f>
        <v>1</v>
      </c>
      <c r="N26" s="1245">
        <f>IF('Mkt Pen Veh-Mi'!N26=0,1,1/((1-Fuel2ShrbyTech!N27)/'Inputs 7&amp;8 SU'!$N39+Fuel2ShrbyTech!N27/'Inputs 7&amp;8 SU'!$T39))</f>
        <v>6.6492529214040559</v>
      </c>
      <c r="O26" s="1246">
        <f>IF('Mkt Pen Veh-Mi'!O26=0,1,1/((1-Fuel2ShrbyTech!O27)/'Inputs 7&amp;8 SU'!$O39+Fuel2ShrbyTech!O27/'Inputs 7&amp;8 SU'!$U39))</f>
        <v>1</v>
      </c>
      <c r="P26" s="1246">
        <f>IF('Mkt Pen Veh-Mi'!P26=0,1,1/((1-Fuel2ShrbyTech!P27)/'Inputs 7&amp;8 SU'!$P39+Fuel2ShrbyTech!P27/'Inputs 7&amp;8 SU'!$V39))</f>
        <v>1</v>
      </c>
      <c r="Q26" s="1246">
        <f>IF('Mkt Pen Veh-Mi'!Q26=0,1,1/((1-Fuel2ShrbyTech!Q27)/'Inputs 7&amp;8 SU'!$Q39+Fuel2ShrbyTech!Q27/'Inputs 7&amp;8 SU'!$W39))</f>
        <v>1</v>
      </c>
      <c r="R26" s="1246">
        <f>IF('Mkt Pen Veh-Mi'!R26=0,1,1/((1-Fuel2ShrbyTech!R27)/'Inputs 7&amp;8 SU'!$R39+Fuel2ShrbyTech!R27/'Inputs 7&amp;8 SU'!$X39))</f>
        <v>1</v>
      </c>
      <c r="S26" s="1247">
        <f>IF('Mkt Pen Veh-Mi'!S26=0,1,1/((1-Fuel2ShrbyTech!S27)/'Inputs 7&amp;8 SU'!$S39+Fuel2ShrbyTech!S27/'Inputs 7&amp;8 SU'!$Y39))</f>
        <v>1</v>
      </c>
      <c r="U26" s="1191">
        <f t="shared" si="13"/>
        <v>2024</v>
      </c>
      <c r="V26" s="1245">
        <f t="shared" si="14"/>
        <v>6.8995357521942369</v>
      </c>
      <c r="W26" s="1246">
        <f t="shared" si="15"/>
        <v>0</v>
      </c>
      <c r="X26" s="1246">
        <f t="shared" si="16"/>
        <v>0</v>
      </c>
      <c r="Y26" s="1246">
        <f t="shared" si="17"/>
        <v>0</v>
      </c>
      <c r="Z26" s="1246">
        <f t="shared" si="18"/>
        <v>0</v>
      </c>
      <c r="AA26" s="1247">
        <f t="shared" si="19"/>
        <v>0</v>
      </c>
      <c r="AB26" s="1245">
        <f t="shared" si="20"/>
        <v>6.6581303524586462</v>
      </c>
      <c r="AC26" s="1246">
        <f t="shared" si="21"/>
        <v>0</v>
      </c>
      <c r="AD26" s="1246">
        <f t="shared" si="22"/>
        <v>0</v>
      </c>
      <c r="AE26" s="1246">
        <f t="shared" si="23"/>
        <v>0</v>
      </c>
      <c r="AF26" s="1246">
        <f t="shared" si="24"/>
        <v>0</v>
      </c>
      <c r="AG26" s="1247">
        <f t="shared" si="25"/>
        <v>0</v>
      </c>
      <c r="AH26" s="1245">
        <f t="shared" si="26"/>
        <v>6.6492529214040559</v>
      </c>
      <c r="AI26" s="1246">
        <f t="shared" si="27"/>
        <v>0</v>
      </c>
      <c r="AJ26" s="1246">
        <f t="shared" si="28"/>
        <v>0</v>
      </c>
      <c r="AK26" s="1246">
        <f t="shared" si="29"/>
        <v>0</v>
      </c>
      <c r="AL26" s="1246">
        <f t="shared" si="30"/>
        <v>0</v>
      </c>
      <c r="AM26" s="1247">
        <f t="shared" si="31"/>
        <v>0</v>
      </c>
      <c r="AN26" s="1176">
        <v>2024</v>
      </c>
      <c r="AO26" s="1322">
        <f t="array" ref="AO26">1/SUMPRODUCT(IFERROR(1/V26:AA26,0),'Mkt Pen Veh-Mi'!B26:G26)</f>
        <v>6.8995357521942369</v>
      </c>
      <c r="AP26" s="1323">
        <f t="array" ref="AP26">1/SUMPRODUCT(IFERROR(1/AB26:AG26,0),'Mkt Pen Veh-Mi'!H26:M26)</f>
        <v>6.6581303524586462</v>
      </c>
      <c r="AQ26" s="1327">
        <f t="array" ref="AQ26">1/SUMPRODUCT(IFERROR(1/AH26:AM26,0),'Mkt Pen Veh-Mi'!N26:S26)</f>
        <v>6.6492529214040559</v>
      </c>
      <c r="AR26" s="1320">
        <v>2024</v>
      </c>
      <c r="AS26" s="1322">
        <f t="shared" si="32"/>
        <v>1</v>
      </c>
      <c r="AT26" s="1323">
        <f t="shared" si="33"/>
        <v>1</v>
      </c>
      <c r="AU26" s="1323">
        <f t="shared" si="34"/>
        <v>1</v>
      </c>
      <c r="AV26" s="1327">
        <v>1.0542395624100738</v>
      </c>
    </row>
    <row r="27" spans="1:48" s="1176" customFormat="1" ht="15" x14ac:dyDescent="0.25">
      <c r="A27" s="1197">
        <v>2025</v>
      </c>
      <c r="B27" s="1248">
        <f>IF('Mkt Pen Veh-Mi'!B27=0,1,1/((1-Fuel2ShrbyTech!B28)/'Inputs 7&amp;8 Sleep'!$N40+Fuel2ShrbyTech!B28/'Inputs 7&amp;8 Sleep'!$T40))</f>
        <v>7.0826454244148485</v>
      </c>
      <c r="C27" s="1249">
        <f>IF('Mkt Pen Veh-Mi'!C27=0,1,1/((1-Fuel2ShrbyTech!C28)/'Inputs 7&amp;8 Sleep'!$O40+Fuel2ShrbyTech!C28/'Inputs 7&amp;8 Sleep'!$U40))</f>
        <v>1</v>
      </c>
      <c r="D27" s="1249">
        <f>IF('Mkt Pen Veh-Mi'!D27=0,1,1/((1-Fuel2ShrbyTech!D28)/'Inputs 7&amp;8 Sleep'!$P40+Fuel2ShrbyTech!D28/'Inputs 7&amp;8 Sleep'!$V40))</f>
        <v>1</v>
      </c>
      <c r="E27" s="1249">
        <f>IF('Mkt Pen Veh-Mi'!E27=0,1,1/((1-Fuel2ShrbyTech!E28)/'Inputs 7&amp;8 Sleep'!$Q40+Fuel2ShrbyTech!E28/'Inputs 7&amp;8 Sleep'!$W40))</f>
        <v>1</v>
      </c>
      <c r="F27" s="1249">
        <f>IF('Mkt Pen Veh-Mi'!F27=0,1,1/((1-Fuel2ShrbyTech!F28)/'Inputs 7&amp;8 Sleep'!$R40+Fuel2ShrbyTech!F28/'Inputs 7&amp;8 Sleep'!$X40))</f>
        <v>1</v>
      </c>
      <c r="G27" s="1250">
        <f>IF('Mkt Pen Veh-Mi'!G27=0,1,1/((1-Fuel2ShrbyTech!G28)/'Inputs 7&amp;8 Sleep'!$S40+Fuel2ShrbyTech!G28/'Inputs 7&amp;8 Sleep'!$Y40))</f>
        <v>1</v>
      </c>
      <c r="H27" s="1248">
        <f>IF('Mkt Pen Veh-Mi'!H27=0,1,1/((1-Fuel2ShrbyTech!H28)/'Inputs 7&amp;8 Day'!$N40+Fuel2ShrbyTech!H28/'Inputs 7&amp;8 Day'!$T40))</f>
        <v>6.8086034138932883</v>
      </c>
      <c r="I27" s="1249">
        <f>IF('Mkt Pen Veh-Mi'!I27=0,1,1/((1-Fuel2ShrbyTech!I28)/'Inputs 7&amp;8 Day'!$O40+Fuel2ShrbyTech!I28/'Inputs 7&amp;8 Day'!$U40))</f>
        <v>1</v>
      </c>
      <c r="J27" s="1249">
        <f>IF('Mkt Pen Veh-Mi'!J27=0,1,1/((1-Fuel2ShrbyTech!J28)/'Inputs 7&amp;8 Day'!$P40+Fuel2ShrbyTech!J28/'Inputs 7&amp;8 Day'!$V40))</f>
        <v>1</v>
      </c>
      <c r="K27" s="1249">
        <f>IF('Mkt Pen Veh-Mi'!K27=0,1,1/((1-Fuel2ShrbyTech!K28)/'Inputs 7&amp;8 Day'!$Q40+Fuel2ShrbyTech!K28/'Inputs 7&amp;8 Day'!$W40))</f>
        <v>1</v>
      </c>
      <c r="L27" s="1249">
        <f>IF('Mkt Pen Veh-Mi'!L27=0,1,1/((1-Fuel2ShrbyTech!L28)/'Inputs 7&amp;8 Day'!$R40+Fuel2ShrbyTech!L28/'Inputs 7&amp;8 Day'!$X40))</f>
        <v>1</v>
      </c>
      <c r="M27" s="1250">
        <f>IF('Mkt Pen Veh-Mi'!M27=0,1,1/((1-Fuel2ShrbyTech!M28)/'Inputs 7&amp;8 Day'!$S40+Fuel2ShrbyTech!M28/'Inputs 7&amp;8 Day'!$Y40))</f>
        <v>1</v>
      </c>
      <c r="N27" s="1248">
        <f>IF('Mkt Pen Veh-Mi'!N27=0,1,1/((1-Fuel2ShrbyTech!N28)/'Inputs 7&amp;8 SU'!$N40+Fuel2ShrbyTech!N28/'Inputs 7&amp;8 SU'!$T40))</f>
        <v>6.8393988538764896</v>
      </c>
      <c r="O27" s="1249">
        <f>IF('Mkt Pen Veh-Mi'!O27=0,1,1/((1-Fuel2ShrbyTech!O28)/'Inputs 7&amp;8 SU'!$O40+Fuel2ShrbyTech!O28/'Inputs 7&amp;8 SU'!$U40))</f>
        <v>1</v>
      </c>
      <c r="P27" s="1249">
        <f>IF('Mkt Pen Veh-Mi'!P27=0,1,1/((1-Fuel2ShrbyTech!P28)/'Inputs 7&amp;8 SU'!$P40+Fuel2ShrbyTech!P28/'Inputs 7&amp;8 SU'!$V40))</f>
        <v>1</v>
      </c>
      <c r="Q27" s="1249">
        <f>IF('Mkt Pen Veh-Mi'!Q27=0,1,1/((1-Fuel2ShrbyTech!Q28)/'Inputs 7&amp;8 SU'!$Q40+Fuel2ShrbyTech!Q28/'Inputs 7&amp;8 SU'!$W40))</f>
        <v>1</v>
      </c>
      <c r="R27" s="1249">
        <f>IF('Mkt Pen Veh-Mi'!R27=0,1,1/((1-Fuel2ShrbyTech!R28)/'Inputs 7&amp;8 SU'!$R40+Fuel2ShrbyTech!R28/'Inputs 7&amp;8 SU'!$X40))</f>
        <v>1</v>
      </c>
      <c r="S27" s="1250">
        <f>IF('Mkt Pen Veh-Mi'!S27=0,1,1/((1-Fuel2ShrbyTech!S28)/'Inputs 7&amp;8 SU'!$S40+Fuel2ShrbyTech!S28/'Inputs 7&amp;8 SU'!$Y40))</f>
        <v>1</v>
      </c>
      <c r="U27" s="1197">
        <f t="shared" si="13"/>
        <v>2025</v>
      </c>
      <c r="V27" s="1248">
        <f t="shared" si="14"/>
        <v>7.0826454244148485</v>
      </c>
      <c r="W27" s="1249">
        <f t="shared" si="15"/>
        <v>0</v>
      </c>
      <c r="X27" s="1249">
        <f t="shared" si="16"/>
        <v>0</v>
      </c>
      <c r="Y27" s="1249">
        <f t="shared" si="17"/>
        <v>0</v>
      </c>
      <c r="Z27" s="1249">
        <f t="shared" si="18"/>
        <v>0</v>
      </c>
      <c r="AA27" s="1250">
        <f t="shared" si="19"/>
        <v>0</v>
      </c>
      <c r="AB27" s="1248">
        <f t="shared" si="20"/>
        <v>6.8086034138932883</v>
      </c>
      <c r="AC27" s="1249">
        <f t="shared" si="21"/>
        <v>0</v>
      </c>
      <c r="AD27" s="1249">
        <f t="shared" si="22"/>
        <v>0</v>
      </c>
      <c r="AE27" s="1249">
        <f t="shared" si="23"/>
        <v>0</v>
      </c>
      <c r="AF27" s="1249">
        <f t="shared" si="24"/>
        <v>0</v>
      </c>
      <c r="AG27" s="1250">
        <f t="shared" si="25"/>
        <v>0</v>
      </c>
      <c r="AH27" s="1248">
        <f t="shared" si="26"/>
        <v>6.8393988538764896</v>
      </c>
      <c r="AI27" s="1249">
        <f t="shared" si="27"/>
        <v>0</v>
      </c>
      <c r="AJ27" s="1249">
        <f t="shared" si="28"/>
        <v>0</v>
      </c>
      <c r="AK27" s="1249">
        <f t="shared" si="29"/>
        <v>0</v>
      </c>
      <c r="AL27" s="1249">
        <f t="shared" si="30"/>
        <v>0</v>
      </c>
      <c r="AM27" s="1250">
        <f t="shared" si="31"/>
        <v>0</v>
      </c>
      <c r="AN27" s="1176">
        <v>2025</v>
      </c>
      <c r="AO27" s="1322">
        <f t="array" ref="AO27">1/SUMPRODUCT(IFERROR(1/V27:AA27,0),'Mkt Pen Veh-Mi'!B27:G27)</f>
        <v>7.0826454244148485</v>
      </c>
      <c r="AP27" s="1323">
        <f t="array" ref="AP27">1/SUMPRODUCT(IFERROR(1/AB27:AG27,0),'Mkt Pen Veh-Mi'!H27:M27)</f>
        <v>6.8086034138932883</v>
      </c>
      <c r="AQ27" s="1327">
        <f t="array" ref="AQ27">1/SUMPRODUCT(IFERROR(1/AH27:AM27,0),'Mkt Pen Veh-Mi'!N27:S27)</f>
        <v>6.8393988538764896</v>
      </c>
      <c r="AR27" s="1320">
        <v>2025</v>
      </c>
      <c r="AS27" s="1322">
        <f t="shared" si="32"/>
        <v>1</v>
      </c>
      <c r="AT27" s="1323">
        <f t="shared" si="33"/>
        <v>1</v>
      </c>
      <c r="AU27" s="1323">
        <f t="shared" si="34"/>
        <v>1</v>
      </c>
      <c r="AV27" s="1327">
        <v>1.0972655221641847</v>
      </c>
    </row>
    <row r="28" spans="1:48" s="1176" customFormat="1" ht="15" x14ac:dyDescent="0.25">
      <c r="A28" s="1191">
        <v>2026</v>
      </c>
      <c r="B28" s="1251">
        <f>IF('Mkt Pen Veh-Mi'!B28=0,1,1/((1-Fuel2ShrbyTech!B29)/'Inputs 7&amp;8 Sleep'!$N41+Fuel2ShrbyTech!B29/'Inputs 7&amp;8 Sleep'!$T41))</f>
        <v>7.294435606504738</v>
      </c>
      <c r="C28" s="1252">
        <f>IF('Mkt Pen Veh-Mi'!C28=0,1,1/((1-Fuel2ShrbyTech!C29)/'Inputs 7&amp;8 Sleep'!$O41+Fuel2ShrbyTech!C29/'Inputs 7&amp;8 Sleep'!$U41))</f>
        <v>7.43924368724121</v>
      </c>
      <c r="D28" s="1252">
        <f>IF('Mkt Pen Veh-Mi'!D28=0,1,1/((1-Fuel2ShrbyTech!D29)/'Inputs 7&amp;8 Sleep'!$P41+Fuel2ShrbyTech!D29/'Inputs 7&amp;8 Sleep'!$V41))</f>
        <v>7.9747819824606321</v>
      </c>
      <c r="E28" s="1252">
        <f>IF('Mkt Pen Veh-Mi'!E28=0,1,1/((1-Fuel2ShrbyTech!E29)/'Inputs 7&amp;8 Sleep'!$Q41+Fuel2ShrbyTech!E29/'Inputs 7&amp;8 Sleep'!$W41))</f>
        <v>1</v>
      </c>
      <c r="F28" s="1252">
        <f>IF('Mkt Pen Veh-Mi'!F28=0,1,1/((1-Fuel2ShrbyTech!F29)/'Inputs 7&amp;8 Sleep'!$R41+Fuel2ShrbyTech!F29/'Inputs 7&amp;8 Sleep'!$X41))</f>
        <v>1</v>
      </c>
      <c r="G28" s="1253">
        <f>IF('Mkt Pen Veh-Mi'!G28=0,1,1/((1-Fuel2ShrbyTech!G29)/'Inputs 7&amp;8 Sleep'!$S41+Fuel2ShrbyTech!G29/'Inputs 7&amp;8 Sleep'!$Y41))</f>
        <v>1</v>
      </c>
      <c r="H28" s="1251">
        <f>IF('Mkt Pen Veh-Mi'!H28=0,1,1/((1-Fuel2ShrbyTech!H29)/'Inputs 7&amp;8 Day'!$N41+Fuel2ShrbyTech!H29/'Inputs 7&amp;8 Day'!$T41))</f>
        <v>6.9782165360518364</v>
      </c>
      <c r="I28" s="1252">
        <f>IF('Mkt Pen Veh-Mi'!I28=0,1,1/((1-Fuel2ShrbyTech!I29)/'Inputs 7&amp;8 Day'!$O41+Fuel2ShrbyTech!I29/'Inputs 7&amp;8 Day'!$U41))</f>
        <v>7.9565414156980401</v>
      </c>
      <c r="J28" s="1252">
        <f>IF('Mkt Pen Veh-Mi'!J28=0,1,1/((1-Fuel2ShrbyTech!J29)/'Inputs 7&amp;8 Day'!$P41+Fuel2ShrbyTech!J29/'Inputs 7&amp;8 Day'!$V41))</f>
        <v>8.4441142287088482</v>
      </c>
      <c r="K28" s="1252">
        <f>IF('Mkt Pen Veh-Mi'!K28=0,1,1/((1-Fuel2ShrbyTech!K29)/'Inputs 7&amp;8 Day'!$Q41+Fuel2ShrbyTech!K29/'Inputs 7&amp;8 Day'!$W41))</f>
        <v>1</v>
      </c>
      <c r="L28" s="1252">
        <f>IF('Mkt Pen Veh-Mi'!L28=0,1,1/((1-Fuel2ShrbyTech!L29)/'Inputs 7&amp;8 Day'!$R41+Fuel2ShrbyTech!L29/'Inputs 7&amp;8 Day'!$X41))</f>
        <v>1</v>
      </c>
      <c r="M28" s="1253">
        <f>IF('Mkt Pen Veh-Mi'!M28=0,1,1/((1-Fuel2ShrbyTech!M29)/'Inputs 7&amp;8 Day'!$S41+Fuel2ShrbyTech!M29/'Inputs 7&amp;8 Day'!$Y41))</f>
        <v>1</v>
      </c>
      <c r="N28" s="1251">
        <f>IF('Mkt Pen Veh-Mi'!N28=0,1,1/((1-Fuel2ShrbyTech!N29)/'Inputs 7&amp;8 SU'!$N41+Fuel2ShrbyTech!N29/'Inputs 7&amp;8 SU'!$T41))</f>
        <v>7.0297650802057969</v>
      </c>
      <c r="O28" s="1252">
        <f>IF('Mkt Pen Veh-Mi'!O28=0,1,1/((1-Fuel2ShrbyTech!O29)/'Inputs 7&amp;8 SU'!$O41+Fuel2ShrbyTech!O29/'Inputs 7&amp;8 SU'!$U41))</f>
        <v>7.2120255546737706</v>
      </c>
      <c r="P28" s="1252">
        <f>IF('Mkt Pen Veh-Mi'!P28=0,1,1/((1-Fuel2ShrbyTech!P29)/'Inputs 7&amp;8 SU'!$P41+Fuel2ShrbyTech!P29/'Inputs 7&amp;8 SU'!$V41))</f>
        <v>10.498425728055857</v>
      </c>
      <c r="Q28" s="1252">
        <f>IF('Mkt Pen Veh-Mi'!Q28=0,1,1/((1-Fuel2ShrbyTech!Q29)/'Inputs 7&amp;8 SU'!$Q41+Fuel2ShrbyTech!Q29/'Inputs 7&amp;8 SU'!$W41))</f>
        <v>1</v>
      </c>
      <c r="R28" s="1252">
        <f>IF('Mkt Pen Veh-Mi'!R28=0,1,1/((1-Fuel2ShrbyTech!R29)/'Inputs 7&amp;8 SU'!$R41+Fuel2ShrbyTech!R29/'Inputs 7&amp;8 SU'!$X41))</f>
        <v>1</v>
      </c>
      <c r="S28" s="1253">
        <f>IF('Mkt Pen Veh-Mi'!S28=0,1,1/((1-Fuel2ShrbyTech!S29)/'Inputs 7&amp;8 SU'!$S41+Fuel2ShrbyTech!S29/'Inputs 7&amp;8 SU'!$Y41))</f>
        <v>1</v>
      </c>
      <c r="U28" s="1191">
        <f t="shared" si="13"/>
        <v>2026</v>
      </c>
      <c r="V28" s="1251">
        <f t="shared" si="14"/>
        <v>7.294435606504738</v>
      </c>
      <c r="W28" s="1252">
        <f t="shared" si="15"/>
        <v>7.43924368724121</v>
      </c>
      <c r="X28" s="1252">
        <f t="shared" si="16"/>
        <v>7.9747819824606321</v>
      </c>
      <c r="Y28" s="1252">
        <f t="shared" si="17"/>
        <v>0</v>
      </c>
      <c r="Z28" s="1252">
        <f t="shared" si="18"/>
        <v>0</v>
      </c>
      <c r="AA28" s="1253">
        <f t="shared" si="19"/>
        <v>0</v>
      </c>
      <c r="AB28" s="1251">
        <f t="shared" si="20"/>
        <v>6.9782165360518364</v>
      </c>
      <c r="AC28" s="1252">
        <f t="shared" si="21"/>
        <v>7.9565414156980401</v>
      </c>
      <c r="AD28" s="1252">
        <f t="shared" si="22"/>
        <v>8.4441142287088482</v>
      </c>
      <c r="AE28" s="1252">
        <f t="shared" si="23"/>
        <v>0</v>
      </c>
      <c r="AF28" s="1252">
        <f t="shared" si="24"/>
        <v>0</v>
      </c>
      <c r="AG28" s="1253">
        <f t="shared" si="25"/>
        <v>0</v>
      </c>
      <c r="AH28" s="1251">
        <f t="shared" si="26"/>
        <v>7.0297650802057969</v>
      </c>
      <c r="AI28" s="1252">
        <f t="shared" si="27"/>
        <v>7.2120255546737706</v>
      </c>
      <c r="AJ28" s="1252">
        <f t="shared" si="28"/>
        <v>10.498425728055857</v>
      </c>
      <c r="AK28" s="1252">
        <f t="shared" si="29"/>
        <v>0</v>
      </c>
      <c r="AL28" s="1252">
        <f t="shared" si="30"/>
        <v>0</v>
      </c>
      <c r="AM28" s="1253">
        <f t="shared" si="31"/>
        <v>0</v>
      </c>
      <c r="AN28" s="1176">
        <v>2026</v>
      </c>
      <c r="AO28" s="1322">
        <f t="array" ref="AO28">1/SUMPRODUCT(IFERROR(1/V28:AA28,0),'Mkt Pen Veh-Mi'!B28:G28)</f>
        <v>7.304540734059966</v>
      </c>
      <c r="AP28" s="1323">
        <f t="array" ref="AP28">1/SUMPRODUCT(IFERROR(1/AB28:AG28,0),'Mkt Pen Veh-Mi'!H28:M28)</f>
        <v>7.004396850496188</v>
      </c>
      <c r="AQ28" s="1327">
        <f t="array" ref="AQ28">1/SUMPRODUCT(IFERROR(1/AH28:AM28,0),'Mkt Pen Veh-Mi'!N28:S28)</f>
        <v>7.0777851561681961</v>
      </c>
      <c r="AR28" s="1320">
        <v>2026</v>
      </c>
      <c r="AS28" s="1322">
        <f t="shared" si="32"/>
        <v>1.0013853200028549</v>
      </c>
      <c r="AT28" s="1323">
        <f t="shared" si="33"/>
        <v>1.0037517199859154</v>
      </c>
      <c r="AU28" s="1323">
        <f t="shared" si="34"/>
        <v>1.0068309645364413</v>
      </c>
      <c r="AV28" s="1327">
        <v>1.1088315108256861</v>
      </c>
    </row>
    <row r="29" spans="1:48" s="1176" customFormat="1" ht="15" x14ac:dyDescent="0.25">
      <c r="A29" s="1191">
        <v>2027</v>
      </c>
      <c r="B29" s="1245">
        <f>IF('Mkt Pen Veh-Mi'!B29=0,1,1/((1-Fuel2ShrbyTech!B30)/'Inputs 7&amp;8 Sleep'!$N42+Fuel2ShrbyTech!B30/'Inputs 7&amp;8 Sleep'!$T42))</f>
        <v>7.5037759176853553</v>
      </c>
      <c r="C29" s="1246">
        <f>IF('Mkt Pen Veh-Mi'!C29=0,1,1/((1-Fuel2ShrbyTech!C30)/'Inputs 7&amp;8 Sleep'!$O42+Fuel2ShrbyTech!C30/'Inputs 7&amp;8 Sleep'!$U42))</f>
        <v>7.6410226197784183</v>
      </c>
      <c r="D29" s="1246">
        <f>IF('Mkt Pen Veh-Mi'!D29=0,1,1/((1-Fuel2ShrbyTech!D30)/'Inputs 7&amp;8 Sleep'!$P42+Fuel2ShrbyTech!D30/'Inputs 7&amp;8 Sleep'!$V42))</f>
        <v>8.2000653736154518</v>
      </c>
      <c r="E29" s="1246">
        <f>IF('Mkt Pen Veh-Mi'!E29=0,1,1/((1-Fuel2ShrbyTech!E30)/'Inputs 7&amp;8 Sleep'!$Q42+Fuel2ShrbyTech!E30/'Inputs 7&amp;8 Sleep'!$W42))</f>
        <v>1</v>
      </c>
      <c r="F29" s="1246">
        <f>IF('Mkt Pen Veh-Mi'!F29=0,1,1/((1-Fuel2ShrbyTech!F30)/'Inputs 7&amp;8 Sleep'!$R42+Fuel2ShrbyTech!F30/'Inputs 7&amp;8 Sleep'!$X42))</f>
        <v>1</v>
      </c>
      <c r="G29" s="1247">
        <f>IF('Mkt Pen Veh-Mi'!G29=0,1,1/((1-Fuel2ShrbyTech!G30)/'Inputs 7&amp;8 Sleep'!$S42+Fuel2ShrbyTech!G30/'Inputs 7&amp;8 Sleep'!$Y42))</f>
        <v>1</v>
      </c>
      <c r="H29" s="1245">
        <f>IF('Mkt Pen Veh-Mi'!H29=0,1,1/((1-Fuel2ShrbyTech!H30)/'Inputs 7&amp;8 Day'!$N42+Fuel2ShrbyTech!H30/'Inputs 7&amp;8 Day'!$T42))</f>
        <v>7.1454647701784486</v>
      </c>
      <c r="I29" s="1246">
        <f>IF('Mkt Pen Veh-Mi'!I29=0,1,1/((1-Fuel2ShrbyTech!I30)/'Inputs 7&amp;8 Day'!$O42+Fuel2ShrbyTech!I30/'Inputs 7&amp;8 Day'!$U42))</f>
        <v>8.1393169728046217</v>
      </c>
      <c r="J29" s="1246">
        <f>IF('Mkt Pen Veh-Mi'!J29=0,1,1/((1-Fuel2ShrbyTech!J30)/'Inputs 7&amp;8 Day'!$P42+Fuel2ShrbyTech!J30/'Inputs 7&amp;8 Day'!$V42))</f>
        <v>8.6420691281866731</v>
      </c>
      <c r="K29" s="1246">
        <f>IF('Mkt Pen Veh-Mi'!K29=0,1,1/((1-Fuel2ShrbyTech!K30)/'Inputs 7&amp;8 Day'!$Q42+Fuel2ShrbyTech!K30/'Inputs 7&amp;8 Day'!$W42))</f>
        <v>1</v>
      </c>
      <c r="L29" s="1246">
        <f>IF('Mkt Pen Veh-Mi'!L29=0,1,1/((1-Fuel2ShrbyTech!L30)/'Inputs 7&amp;8 Day'!$R42+Fuel2ShrbyTech!L30/'Inputs 7&amp;8 Day'!$X42))</f>
        <v>1</v>
      </c>
      <c r="M29" s="1247">
        <f>IF('Mkt Pen Veh-Mi'!M29=0,1,1/((1-Fuel2ShrbyTech!M30)/'Inputs 7&amp;8 Day'!$S42+Fuel2ShrbyTech!M30/'Inputs 7&amp;8 Day'!$Y42))</f>
        <v>1</v>
      </c>
      <c r="N29" s="1245">
        <f>IF('Mkt Pen Veh-Mi'!N29=0,1,1/((1-Fuel2ShrbyTech!N30)/'Inputs 7&amp;8 SU'!$N42+Fuel2ShrbyTech!N30/'Inputs 7&amp;8 SU'!$T42))</f>
        <v>7.2347440826554212</v>
      </c>
      <c r="O29" s="1246">
        <f>IF('Mkt Pen Veh-Mi'!O29=0,1,1/((1-Fuel2ShrbyTech!O30)/'Inputs 7&amp;8 SU'!$O42+Fuel2ShrbyTech!O30/'Inputs 7&amp;8 SU'!$U42))</f>
        <v>7.4425281044242988</v>
      </c>
      <c r="P29" s="1246">
        <f>IF('Mkt Pen Veh-Mi'!P29=0,1,1/((1-Fuel2ShrbyTech!P30)/'Inputs 7&amp;8 SU'!$P42+Fuel2ShrbyTech!P30/'Inputs 7&amp;8 SU'!$V42))</f>
        <v>10.81928626342552</v>
      </c>
      <c r="Q29" s="1246">
        <f>IF('Mkt Pen Veh-Mi'!Q29=0,1,1/((1-Fuel2ShrbyTech!Q30)/'Inputs 7&amp;8 SU'!$Q42+Fuel2ShrbyTech!Q30/'Inputs 7&amp;8 SU'!$W42))</f>
        <v>1</v>
      </c>
      <c r="R29" s="1246">
        <f>IF('Mkt Pen Veh-Mi'!R29=0,1,1/((1-Fuel2ShrbyTech!R30)/'Inputs 7&amp;8 SU'!$R42+Fuel2ShrbyTech!R30/'Inputs 7&amp;8 SU'!$X42))</f>
        <v>1</v>
      </c>
      <c r="S29" s="1247">
        <f>IF('Mkt Pen Veh-Mi'!S29=0,1,1/((1-Fuel2ShrbyTech!S30)/'Inputs 7&amp;8 SU'!$S42+Fuel2ShrbyTech!S30/'Inputs 7&amp;8 SU'!$Y42))</f>
        <v>1</v>
      </c>
      <c r="U29" s="1191">
        <f t="shared" si="13"/>
        <v>2027</v>
      </c>
      <c r="V29" s="1245">
        <f t="shared" si="14"/>
        <v>7.5037759176853553</v>
      </c>
      <c r="W29" s="1246">
        <f t="shared" si="15"/>
        <v>7.6410226197784183</v>
      </c>
      <c r="X29" s="1246">
        <f t="shared" si="16"/>
        <v>8.2000653736154518</v>
      </c>
      <c r="Y29" s="1246">
        <f t="shared" si="17"/>
        <v>0</v>
      </c>
      <c r="Z29" s="1246">
        <f t="shared" si="18"/>
        <v>0</v>
      </c>
      <c r="AA29" s="1247">
        <f t="shared" si="19"/>
        <v>0</v>
      </c>
      <c r="AB29" s="1245">
        <f t="shared" si="20"/>
        <v>7.1454647701784486</v>
      </c>
      <c r="AC29" s="1246">
        <f t="shared" si="21"/>
        <v>8.1393169728046217</v>
      </c>
      <c r="AD29" s="1246">
        <f t="shared" si="22"/>
        <v>8.6420691281866731</v>
      </c>
      <c r="AE29" s="1246">
        <f t="shared" si="23"/>
        <v>0</v>
      </c>
      <c r="AF29" s="1246">
        <f t="shared" si="24"/>
        <v>0</v>
      </c>
      <c r="AG29" s="1247">
        <f t="shared" si="25"/>
        <v>0</v>
      </c>
      <c r="AH29" s="1245">
        <f t="shared" si="26"/>
        <v>7.2347440826554212</v>
      </c>
      <c r="AI29" s="1246">
        <f t="shared" si="27"/>
        <v>7.4425281044242988</v>
      </c>
      <c r="AJ29" s="1246">
        <f t="shared" si="28"/>
        <v>10.81928626342552</v>
      </c>
      <c r="AK29" s="1246">
        <f t="shared" si="29"/>
        <v>0</v>
      </c>
      <c r="AL29" s="1246">
        <f t="shared" si="30"/>
        <v>0</v>
      </c>
      <c r="AM29" s="1247">
        <f t="shared" si="31"/>
        <v>0</v>
      </c>
      <c r="AN29" s="1176">
        <v>2027</v>
      </c>
      <c r="AO29" s="1322">
        <f t="array" ref="AO29">1/SUMPRODUCT(IFERROR(1/V29:AA29,0),'Mkt Pen Veh-Mi'!B29:G29)</f>
        <v>7.5238319895535923</v>
      </c>
      <c r="AP29" s="1323">
        <f t="array" ref="AP29">1/SUMPRODUCT(IFERROR(1/AB29:AG29,0),'Mkt Pen Veh-Mi'!H29:M29)</f>
        <v>7.1970025418884482</v>
      </c>
      <c r="AQ29" s="1327">
        <f t="array" ref="AQ29">1/SUMPRODUCT(IFERROR(1/AH29:AM29,0),'Mkt Pen Veh-Mi'!N29:S29)</f>
        <v>7.3635108863936285</v>
      </c>
      <c r="AR29" s="1320">
        <v>2027</v>
      </c>
      <c r="AS29" s="1322">
        <f t="shared" si="32"/>
        <v>1.0026727972807621</v>
      </c>
      <c r="AT29" s="1323">
        <f t="shared" si="33"/>
        <v>1.007212654931152</v>
      </c>
      <c r="AU29" s="1323">
        <f t="shared" si="34"/>
        <v>1.0177983909682324</v>
      </c>
      <c r="AV29" s="1327">
        <v>1.1157356459109145</v>
      </c>
    </row>
    <row r="30" spans="1:48" s="1176" customFormat="1" ht="15" x14ac:dyDescent="0.25">
      <c r="A30" s="1191">
        <v>2028</v>
      </c>
      <c r="B30" s="1245">
        <f>IF('Mkt Pen Veh-Mi'!B30=0,1,1/((1-Fuel2ShrbyTech!B31)/'Inputs 7&amp;8 Sleep'!$N43+Fuel2ShrbyTech!B31/'Inputs 7&amp;8 Sleep'!$T43))</f>
        <v>7.6179189540571537</v>
      </c>
      <c r="C30" s="1246">
        <f>IF('Mkt Pen Veh-Mi'!C30=0,1,1/((1-Fuel2ShrbyTech!C31)/'Inputs 7&amp;8 Sleep'!$O43+Fuel2ShrbyTech!C31/'Inputs 7&amp;8 Sleep'!$U43))</f>
        <v>7.9313508994189945</v>
      </c>
      <c r="D30" s="1246">
        <f>IF('Mkt Pen Veh-Mi'!D30=0,1,1/((1-Fuel2ShrbyTech!D31)/'Inputs 7&amp;8 Sleep'!$P43+Fuel2ShrbyTech!D31/'Inputs 7&amp;8 Sleep'!$V43))</f>
        <v>8.5216184131890618</v>
      </c>
      <c r="E30" s="1246">
        <f>IF('Mkt Pen Veh-Mi'!E30=0,1,1/((1-Fuel2ShrbyTech!E31)/'Inputs 7&amp;8 Sleep'!$Q43+Fuel2ShrbyTech!E31/'Inputs 7&amp;8 Sleep'!$W43))</f>
        <v>1</v>
      </c>
      <c r="F30" s="1246">
        <f>IF('Mkt Pen Veh-Mi'!F30=0,1,1/((1-Fuel2ShrbyTech!F31)/'Inputs 7&amp;8 Sleep'!$R43+Fuel2ShrbyTech!F31/'Inputs 7&amp;8 Sleep'!$X43))</f>
        <v>1</v>
      </c>
      <c r="G30" s="1247">
        <f>IF('Mkt Pen Veh-Mi'!G30=0,1,1/((1-Fuel2ShrbyTech!G31)/'Inputs 7&amp;8 Sleep'!$S43+Fuel2ShrbyTech!G31/'Inputs 7&amp;8 Sleep'!$Y43))</f>
        <v>1</v>
      </c>
      <c r="H30" s="1245">
        <f>IF('Mkt Pen Veh-Mi'!H30=0,1,1/((1-Fuel2ShrbyTech!H31)/'Inputs 7&amp;8 Day'!$N43+Fuel2ShrbyTech!H31/'Inputs 7&amp;8 Day'!$T43))</f>
        <v>7.2213425095119215</v>
      </c>
      <c r="I30" s="1246">
        <f>IF('Mkt Pen Veh-Mi'!I30=0,1,1/((1-Fuel2ShrbyTech!I31)/'Inputs 7&amp;8 Day'!$O43+Fuel2ShrbyTech!I31/'Inputs 7&amp;8 Day'!$U43))</f>
        <v>8.47415891925362</v>
      </c>
      <c r="J30" s="1246">
        <f>IF('Mkt Pen Veh-Mi'!J30=0,1,1/((1-Fuel2ShrbyTech!J31)/'Inputs 7&amp;8 Day'!$P43+Fuel2ShrbyTech!J31/'Inputs 7&amp;8 Day'!$V43))</f>
        <v>9.0208301307657983</v>
      </c>
      <c r="K30" s="1246">
        <f>IF('Mkt Pen Veh-Mi'!K30=0,1,1/((1-Fuel2ShrbyTech!K31)/'Inputs 7&amp;8 Day'!$Q43+Fuel2ShrbyTech!K31/'Inputs 7&amp;8 Day'!$W43))</f>
        <v>1</v>
      </c>
      <c r="L30" s="1246">
        <f>IF('Mkt Pen Veh-Mi'!L30=0,1,1/((1-Fuel2ShrbyTech!L31)/'Inputs 7&amp;8 Day'!$R43+Fuel2ShrbyTech!L31/'Inputs 7&amp;8 Day'!$X43))</f>
        <v>1</v>
      </c>
      <c r="M30" s="1247">
        <f>IF('Mkt Pen Veh-Mi'!M30=0,1,1/((1-Fuel2ShrbyTech!M31)/'Inputs 7&amp;8 Day'!$S43+Fuel2ShrbyTech!M31/'Inputs 7&amp;8 Day'!$Y43))</f>
        <v>1</v>
      </c>
      <c r="N30" s="1245">
        <f>IF('Mkt Pen Veh-Mi'!N30=0,1,1/((1-Fuel2ShrbyTech!N31)/'Inputs 7&amp;8 SU'!$N43+Fuel2ShrbyTech!N31/'Inputs 7&amp;8 SU'!$T43))</f>
        <v>7.3264307414802232</v>
      </c>
      <c r="O30" s="1246">
        <f>IF('Mkt Pen Veh-Mi'!O30=0,1,1/((1-Fuel2ShrbyTech!O31)/'Inputs 7&amp;8 SU'!$O43+Fuel2ShrbyTech!O31/'Inputs 7&amp;8 SU'!$U43))</f>
        <v>7.6363608701175529</v>
      </c>
      <c r="P30" s="1246">
        <f>IF('Mkt Pen Veh-Mi'!P30=0,1,1/((1-Fuel2ShrbyTech!P31)/'Inputs 7&amp;8 SU'!$P43+Fuel2ShrbyTech!P31/'Inputs 7&amp;8 SU'!$V43))</f>
        <v>11.301180035708263</v>
      </c>
      <c r="Q30" s="1246">
        <f>IF('Mkt Pen Veh-Mi'!Q30=0,1,1/((1-Fuel2ShrbyTech!Q31)/'Inputs 7&amp;8 SU'!$Q43+Fuel2ShrbyTech!Q31/'Inputs 7&amp;8 SU'!$W43))</f>
        <v>1</v>
      </c>
      <c r="R30" s="1246">
        <f>IF('Mkt Pen Veh-Mi'!R30=0,1,1/((1-Fuel2ShrbyTech!R31)/'Inputs 7&amp;8 SU'!$R43+Fuel2ShrbyTech!R31/'Inputs 7&amp;8 SU'!$X43))</f>
        <v>17.881442405291828</v>
      </c>
      <c r="S30" s="1247">
        <f>IF('Mkt Pen Veh-Mi'!S30=0,1,1/((1-Fuel2ShrbyTech!S31)/'Inputs 7&amp;8 SU'!$S43+Fuel2ShrbyTech!S31/'Inputs 7&amp;8 SU'!$Y43))</f>
        <v>1</v>
      </c>
      <c r="U30" s="1191">
        <f t="shared" si="13"/>
        <v>2028</v>
      </c>
      <c r="V30" s="1245">
        <f t="shared" si="14"/>
        <v>7.6179189540571537</v>
      </c>
      <c r="W30" s="1246">
        <f t="shared" si="15"/>
        <v>7.9313508994189945</v>
      </c>
      <c r="X30" s="1246">
        <f t="shared" si="16"/>
        <v>8.5216184131890618</v>
      </c>
      <c r="Y30" s="1246">
        <f t="shared" si="17"/>
        <v>0</v>
      </c>
      <c r="Z30" s="1246">
        <f t="shared" si="18"/>
        <v>0</v>
      </c>
      <c r="AA30" s="1247">
        <f t="shared" si="19"/>
        <v>0</v>
      </c>
      <c r="AB30" s="1245">
        <f t="shared" si="20"/>
        <v>7.2213425095119215</v>
      </c>
      <c r="AC30" s="1246">
        <f t="shared" si="21"/>
        <v>8.47415891925362</v>
      </c>
      <c r="AD30" s="1246">
        <f t="shared" si="22"/>
        <v>9.0208301307657983</v>
      </c>
      <c r="AE30" s="1246">
        <f t="shared" si="23"/>
        <v>0</v>
      </c>
      <c r="AF30" s="1246">
        <f t="shared" si="24"/>
        <v>0</v>
      </c>
      <c r="AG30" s="1247">
        <f t="shared" si="25"/>
        <v>0</v>
      </c>
      <c r="AH30" s="1245">
        <f t="shared" si="26"/>
        <v>7.3264307414802232</v>
      </c>
      <c r="AI30" s="1246">
        <f t="shared" si="27"/>
        <v>7.6363608701175529</v>
      </c>
      <c r="AJ30" s="1246">
        <f t="shared" si="28"/>
        <v>11.301180035708263</v>
      </c>
      <c r="AK30" s="1246">
        <f t="shared" si="29"/>
        <v>0</v>
      </c>
      <c r="AL30" s="1246">
        <f t="shared" si="30"/>
        <v>17.881442405291828</v>
      </c>
      <c r="AM30" s="1247">
        <f t="shared" si="31"/>
        <v>0</v>
      </c>
      <c r="AN30" s="1176">
        <v>2028</v>
      </c>
      <c r="AO30" s="1322">
        <f t="array" ref="AO30">1/SUMPRODUCT(IFERROR(1/V30:AA30,0),'Mkt Pen Veh-Mi'!B30:G30)</f>
        <v>7.7340800297367238</v>
      </c>
      <c r="AP30" s="1323">
        <f t="array" ref="AP30">1/SUMPRODUCT(IFERROR(1/AB30:AG30,0),'Mkt Pen Veh-Mi'!H30:M30)</f>
        <v>7.3979396732340978</v>
      </c>
      <c r="AQ30" s="1327">
        <f t="array" ref="AQ30">1/SUMPRODUCT(IFERROR(1/AH30:AM30,0),'Mkt Pen Veh-Mi'!N30:S30)</f>
        <v>7.6507172182333241</v>
      </c>
      <c r="AR30" s="1320">
        <v>2028</v>
      </c>
      <c r="AS30" s="1322">
        <f t="shared" si="32"/>
        <v>1.0152484000394497</v>
      </c>
      <c r="AT30" s="1323">
        <f t="shared" si="33"/>
        <v>1.0244548937388807</v>
      </c>
      <c r="AU30" s="1323">
        <f t="shared" si="34"/>
        <v>1.0442625458693113</v>
      </c>
      <c r="AV30" s="1327">
        <v>1.128298781955815</v>
      </c>
    </row>
    <row r="31" spans="1:48" s="1176" customFormat="1" ht="15" x14ac:dyDescent="0.25">
      <c r="A31" s="1191">
        <v>2029</v>
      </c>
      <c r="B31" s="1245">
        <f>IF('Mkt Pen Veh-Mi'!B31=0,1,1/((1-Fuel2ShrbyTech!B32)/'Inputs 7&amp;8 Sleep'!$N44+Fuel2ShrbyTech!B32/'Inputs 7&amp;8 Sleep'!$T44))</f>
        <v>7.7555629328580205</v>
      </c>
      <c r="C31" s="1246">
        <f>IF('Mkt Pen Veh-Mi'!C31=0,1,1/((1-Fuel2ShrbyTech!C32)/'Inputs 7&amp;8 Sleep'!$O44+Fuel2ShrbyTech!C32/'Inputs 7&amp;8 Sleep'!$U44))</f>
        <v>8.1513935458479274</v>
      </c>
      <c r="D31" s="1246">
        <f>IF('Mkt Pen Veh-Mi'!D31=0,1,1/((1-Fuel2ShrbyTech!D32)/'Inputs 7&amp;8 Sleep'!$P44+Fuel2ShrbyTech!D32/'Inputs 7&amp;8 Sleep'!$V44))</f>
        <v>8.765326610966552</v>
      </c>
      <c r="E31" s="1246">
        <f>IF('Mkt Pen Veh-Mi'!E31=0,1,1/((1-Fuel2ShrbyTech!E32)/'Inputs 7&amp;8 Sleep'!$Q44+Fuel2ShrbyTech!E32/'Inputs 7&amp;8 Sleep'!$W44))</f>
        <v>1</v>
      </c>
      <c r="F31" s="1246">
        <f>IF('Mkt Pen Veh-Mi'!F31=0,1,1/((1-Fuel2ShrbyTech!F32)/'Inputs 7&amp;8 Sleep'!$R44+Fuel2ShrbyTech!F32/'Inputs 7&amp;8 Sleep'!$X44))</f>
        <v>1</v>
      </c>
      <c r="G31" s="1247">
        <f>IF('Mkt Pen Veh-Mi'!G31=0,1,1/((1-Fuel2ShrbyTech!G32)/'Inputs 7&amp;8 Sleep'!$S44+Fuel2ShrbyTech!G32/'Inputs 7&amp;8 Sleep'!$Y44))</f>
        <v>1</v>
      </c>
      <c r="H31" s="1245">
        <f>IF('Mkt Pen Veh-Mi'!H31=0,1,1/((1-Fuel2ShrbyTech!H32)/'Inputs 7&amp;8 Day'!$N44+Fuel2ShrbyTech!H32/'Inputs 7&amp;8 Day'!$T44))</f>
        <v>7.2751615022591807</v>
      </c>
      <c r="I31" s="1246">
        <f>IF('Mkt Pen Veh-Mi'!I31=0,1,1/((1-Fuel2ShrbyTech!I32)/'Inputs 7&amp;8 Day'!$O44+Fuel2ShrbyTech!I32/'Inputs 7&amp;8 Day'!$U44))</f>
        <v>8.7258948351065779</v>
      </c>
      <c r="J31" s="1246">
        <f>IF('Mkt Pen Veh-Mi'!J31=0,1,1/((1-Fuel2ShrbyTech!J32)/'Inputs 7&amp;8 Day'!$P44+Fuel2ShrbyTech!J32/'Inputs 7&amp;8 Day'!$V44))</f>
        <v>9.3055846213091851</v>
      </c>
      <c r="K31" s="1246">
        <f>IF('Mkt Pen Veh-Mi'!K31=0,1,1/((1-Fuel2ShrbyTech!K32)/'Inputs 7&amp;8 Day'!$Q44+Fuel2ShrbyTech!K32/'Inputs 7&amp;8 Day'!$W44))</f>
        <v>1</v>
      </c>
      <c r="L31" s="1246">
        <f>IF('Mkt Pen Veh-Mi'!L31=0,1,1/((1-Fuel2ShrbyTech!L32)/'Inputs 7&amp;8 Day'!$R44+Fuel2ShrbyTech!L32/'Inputs 7&amp;8 Day'!$X44))</f>
        <v>1</v>
      </c>
      <c r="M31" s="1247">
        <f>IF('Mkt Pen Veh-Mi'!M31=0,1,1/((1-Fuel2ShrbyTech!M32)/'Inputs 7&amp;8 Day'!$S44+Fuel2ShrbyTech!M32/'Inputs 7&amp;8 Day'!$Y44))</f>
        <v>1</v>
      </c>
      <c r="N31" s="1245">
        <f>IF('Mkt Pen Veh-Mi'!N31=0,1,1/((1-Fuel2ShrbyTech!N32)/'Inputs 7&amp;8 SU'!$N44+Fuel2ShrbyTech!N32/'Inputs 7&amp;8 SU'!$T44))</f>
        <v>7.5042230311669362</v>
      </c>
      <c r="O31" s="1246">
        <f>IF('Mkt Pen Veh-Mi'!O31=0,1,1/((1-Fuel2ShrbyTech!O32)/'Inputs 7&amp;8 SU'!$O44+Fuel2ShrbyTech!O32/'Inputs 7&amp;8 SU'!$U44))</f>
        <v>7.7416248737565976</v>
      </c>
      <c r="P31" s="1246">
        <f>IF('Mkt Pen Veh-Mi'!P31=0,1,1/((1-Fuel2ShrbyTech!P32)/'Inputs 7&amp;8 SU'!$P44+Fuel2ShrbyTech!P32/'Inputs 7&amp;8 SU'!$V44))</f>
        <v>11.562880206047257</v>
      </c>
      <c r="Q31" s="1246">
        <f>IF('Mkt Pen Veh-Mi'!Q31=0,1,1/((1-Fuel2ShrbyTech!Q32)/'Inputs 7&amp;8 SU'!$Q44+Fuel2ShrbyTech!Q32/'Inputs 7&amp;8 SU'!$W44))</f>
        <v>1</v>
      </c>
      <c r="R31" s="1246">
        <f>IF('Mkt Pen Veh-Mi'!R31=0,1,1/((1-Fuel2ShrbyTech!R32)/'Inputs 7&amp;8 SU'!$R44+Fuel2ShrbyTech!R32/'Inputs 7&amp;8 SU'!$X44))</f>
        <v>18.226271994158786</v>
      </c>
      <c r="S31" s="1247">
        <f>IF('Mkt Pen Veh-Mi'!S31=0,1,1/((1-Fuel2ShrbyTech!S32)/'Inputs 7&amp;8 SU'!$S44+Fuel2ShrbyTech!S32/'Inputs 7&amp;8 SU'!$Y44))</f>
        <v>1</v>
      </c>
      <c r="U31" s="1191">
        <f t="shared" si="13"/>
        <v>2029</v>
      </c>
      <c r="V31" s="1245">
        <f t="shared" si="14"/>
        <v>7.7555629328580205</v>
      </c>
      <c r="W31" s="1246">
        <f t="shared" si="15"/>
        <v>8.1513935458479274</v>
      </c>
      <c r="X31" s="1246">
        <f t="shared" si="16"/>
        <v>8.765326610966552</v>
      </c>
      <c r="Y31" s="1246">
        <f t="shared" si="17"/>
        <v>0</v>
      </c>
      <c r="Z31" s="1246">
        <f t="shared" si="18"/>
        <v>0</v>
      </c>
      <c r="AA31" s="1247">
        <f t="shared" si="19"/>
        <v>0</v>
      </c>
      <c r="AB31" s="1245">
        <f t="shared" si="20"/>
        <v>7.2751615022591807</v>
      </c>
      <c r="AC31" s="1246">
        <f t="shared" si="21"/>
        <v>8.7258948351065779</v>
      </c>
      <c r="AD31" s="1246">
        <f t="shared" si="22"/>
        <v>9.3055846213091851</v>
      </c>
      <c r="AE31" s="1246">
        <f t="shared" si="23"/>
        <v>0</v>
      </c>
      <c r="AF31" s="1246">
        <f t="shared" si="24"/>
        <v>0</v>
      </c>
      <c r="AG31" s="1247">
        <f t="shared" si="25"/>
        <v>0</v>
      </c>
      <c r="AH31" s="1245">
        <f t="shared" si="26"/>
        <v>7.5042230311669362</v>
      </c>
      <c r="AI31" s="1246">
        <f t="shared" si="27"/>
        <v>7.7416248737565976</v>
      </c>
      <c r="AJ31" s="1246">
        <f t="shared" si="28"/>
        <v>11.562880206047257</v>
      </c>
      <c r="AK31" s="1246">
        <f t="shared" si="29"/>
        <v>0</v>
      </c>
      <c r="AL31" s="1246">
        <f t="shared" si="30"/>
        <v>18.226271994158786</v>
      </c>
      <c r="AM31" s="1247">
        <f t="shared" si="31"/>
        <v>0</v>
      </c>
      <c r="AN31" s="1176">
        <v>2029</v>
      </c>
      <c r="AO31" s="1322">
        <f t="array" ref="AO31">1/SUMPRODUCT(IFERROR(1/V31:AA31,0),'Mkt Pen Veh-Mi'!B31:G31)</f>
        <v>8.0257429507793816</v>
      </c>
      <c r="AP31" s="1323">
        <f t="array" ref="AP31">1/SUMPRODUCT(IFERROR(1/AB31:AG31,0),'Mkt Pen Veh-Mi'!H31:M31)</f>
        <v>7.693688156415778</v>
      </c>
      <c r="AQ31" s="1327">
        <f t="array" ref="AQ31">1/SUMPRODUCT(IFERROR(1/AH31:AM31,0),'Mkt Pen Veh-Mi'!N31:S31)</f>
        <v>8.3192232627254015</v>
      </c>
      <c r="AR31" s="1320">
        <v>2029</v>
      </c>
      <c r="AS31" s="1322">
        <f t="shared" si="32"/>
        <v>1.0348369319236246</v>
      </c>
      <c r="AT31" s="1323">
        <f t="shared" si="33"/>
        <v>1.0575281598939943</v>
      </c>
      <c r="AU31" s="1323">
        <f t="shared" si="34"/>
        <v>1.1086055449276444</v>
      </c>
      <c r="AV31" s="1327">
        <v>1.1453205018890817</v>
      </c>
    </row>
    <row r="32" spans="1:48" s="1176" customFormat="1" ht="15" x14ac:dyDescent="0.25">
      <c r="A32" s="1197">
        <v>2030</v>
      </c>
      <c r="B32" s="1248">
        <f>IF('Mkt Pen Veh-Mi'!B32=0,1,1/((1-Fuel2ShrbyTech!B33)/'Inputs 7&amp;8 Sleep'!$N45+Fuel2ShrbyTech!B33/'Inputs 7&amp;8 Sleep'!$T45))</f>
        <v>7.8652683559393761</v>
      </c>
      <c r="C32" s="1249">
        <f>IF('Mkt Pen Veh-Mi'!C32=0,1,1/((1-Fuel2ShrbyTech!C33)/'Inputs 7&amp;8 Sleep'!$O45+Fuel2ShrbyTech!C33/'Inputs 7&amp;8 Sleep'!$U45))</f>
        <v>8.4020731011389866</v>
      </c>
      <c r="D32" s="1249">
        <f>IF('Mkt Pen Veh-Mi'!D32=0,1,1/((1-Fuel2ShrbyTech!D33)/'Inputs 7&amp;8 Sleep'!$P45+Fuel2ShrbyTech!D33/'Inputs 7&amp;8 Sleep'!$V45))</f>
        <v>9.0429667122429134</v>
      </c>
      <c r="E32" s="1249">
        <f>IF('Mkt Pen Veh-Mi'!E32=0,1,1/((1-Fuel2ShrbyTech!E33)/'Inputs 7&amp;8 Sleep'!$Q45+Fuel2ShrbyTech!E33/'Inputs 7&amp;8 Sleep'!$W45))</f>
        <v>1</v>
      </c>
      <c r="F32" s="1249">
        <f>IF('Mkt Pen Veh-Mi'!F32=0,1,1/((1-Fuel2ShrbyTech!F33)/'Inputs 7&amp;8 Sleep'!$R45+Fuel2ShrbyTech!F33/'Inputs 7&amp;8 Sleep'!$X45))</f>
        <v>1</v>
      </c>
      <c r="G32" s="1250">
        <f>IF('Mkt Pen Veh-Mi'!G32=0,1,1/((1-Fuel2ShrbyTech!G33)/'Inputs 7&amp;8 Sleep'!$S45+Fuel2ShrbyTech!G33/'Inputs 7&amp;8 Sleep'!$Y45))</f>
        <v>1</v>
      </c>
      <c r="H32" s="1248">
        <f>IF('Mkt Pen Veh-Mi'!H32=0,1,1/((1-Fuel2ShrbyTech!H33)/'Inputs 7&amp;8 Day'!$N45+Fuel2ShrbyTech!H33/'Inputs 7&amp;8 Day'!$T45))</f>
        <v>7.3069231945163011</v>
      </c>
      <c r="I32" s="1249">
        <f>IF('Mkt Pen Veh-Mi'!I32=0,1,1/((1-Fuel2ShrbyTech!I33)/'Inputs 7&amp;8 Day'!$O45+Fuel2ShrbyTech!I33/'Inputs 7&amp;8 Day'!$U45))</f>
        <v>9.0394781249975775</v>
      </c>
      <c r="J32" s="1249">
        <f>IF('Mkt Pen Veh-Mi'!J32=0,1,1/((1-Fuel2ShrbyTech!J33)/'Inputs 7&amp;8 Day'!$P45+Fuel2ShrbyTech!J33/'Inputs 7&amp;8 Day'!$V45))</f>
        <v>9.6602986066111036</v>
      </c>
      <c r="K32" s="1249">
        <f>IF('Mkt Pen Veh-Mi'!K32=0,1,1/((1-Fuel2ShrbyTech!K33)/'Inputs 7&amp;8 Day'!$Q45+Fuel2ShrbyTech!K33/'Inputs 7&amp;8 Day'!$W45))</f>
        <v>1</v>
      </c>
      <c r="L32" s="1249">
        <f>IF('Mkt Pen Veh-Mi'!L32=0,1,1/((1-Fuel2ShrbyTech!L33)/'Inputs 7&amp;8 Day'!$R45+Fuel2ShrbyTech!L33/'Inputs 7&amp;8 Day'!$X45))</f>
        <v>1</v>
      </c>
      <c r="M32" s="1250">
        <f>IF('Mkt Pen Veh-Mi'!M32=0,1,1/((1-Fuel2ShrbyTech!M33)/'Inputs 7&amp;8 Day'!$S45+Fuel2ShrbyTech!M33/'Inputs 7&amp;8 Day'!$Y45))</f>
        <v>1</v>
      </c>
      <c r="N32" s="1248">
        <f>IF('Mkt Pen Veh-Mi'!N32=0,1,1/((1-Fuel2ShrbyTech!N33)/'Inputs 7&amp;8 SU'!$N45+Fuel2ShrbyTech!N33/'Inputs 7&amp;8 SU'!$T45))</f>
        <v>7.6650043308267701</v>
      </c>
      <c r="O32" s="1249">
        <f>IF('Mkt Pen Veh-Mi'!O32=0,1,1/((1-Fuel2ShrbyTech!O33)/'Inputs 7&amp;8 SU'!$O45+Fuel2ShrbyTech!O33/'Inputs 7&amp;8 SU'!$U45))</f>
        <v>7.8340239922549015</v>
      </c>
      <c r="P32" s="1249">
        <f>IF('Mkt Pen Veh-Mi'!P32=0,1,1/((1-Fuel2ShrbyTech!P33)/'Inputs 7&amp;8 SU'!$P45+Fuel2ShrbyTech!P33/'Inputs 7&amp;8 SU'!$V45))</f>
        <v>11.792596578351473</v>
      </c>
      <c r="Q32" s="1249">
        <f>IF('Mkt Pen Veh-Mi'!Q32=0,1,1/((1-Fuel2ShrbyTech!Q33)/'Inputs 7&amp;8 SU'!$Q45+Fuel2ShrbyTech!Q33/'Inputs 7&amp;8 SU'!$W45))</f>
        <v>1</v>
      </c>
      <c r="R32" s="1249">
        <f>IF('Mkt Pen Veh-Mi'!R32=0,1,1/((1-Fuel2ShrbyTech!R33)/'Inputs 7&amp;8 SU'!$R45+Fuel2ShrbyTech!R33/'Inputs 7&amp;8 SU'!$X45))</f>
        <v>18.528958087618573</v>
      </c>
      <c r="S32" s="1250">
        <f>IF('Mkt Pen Veh-Mi'!S32=0,1,1/((1-Fuel2ShrbyTech!S33)/'Inputs 7&amp;8 SU'!$S45+Fuel2ShrbyTech!S33/'Inputs 7&amp;8 SU'!$Y45))</f>
        <v>1</v>
      </c>
      <c r="U32" s="1197">
        <f t="shared" si="13"/>
        <v>2030</v>
      </c>
      <c r="V32" s="1248">
        <f t="shared" si="14"/>
        <v>7.8652683559393761</v>
      </c>
      <c r="W32" s="1249">
        <f t="shared" si="15"/>
        <v>8.4020731011389866</v>
      </c>
      <c r="X32" s="1249">
        <f t="shared" si="16"/>
        <v>9.0429667122429134</v>
      </c>
      <c r="Y32" s="1249">
        <f t="shared" si="17"/>
        <v>0</v>
      </c>
      <c r="Z32" s="1249">
        <f t="shared" si="18"/>
        <v>0</v>
      </c>
      <c r="AA32" s="1250">
        <f t="shared" si="19"/>
        <v>0</v>
      </c>
      <c r="AB32" s="1248">
        <f t="shared" si="20"/>
        <v>7.3069231945163011</v>
      </c>
      <c r="AC32" s="1249">
        <f t="shared" si="21"/>
        <v>9.0394781249975775</v>
      </c>
      <c r="AD32" s="1249">
        <f t="shared" si="22"/>
        <v>9.6602986066111036</v>
      </c>
      <c r="AE32" s="1249">
        <f t="shared" si="23"/>
        <v>0</v>
      </c>
      <c r="AF32" s="1249">
        <f t="shared" si="24"/>
        <v>0</v>
      </c>
      <c r="AG32" s="1250">
        <f t="shared" si="25"/>
        <v>0</v>
      </c>
      <c r="AH32" s="1248">
        <f t="shared" si="26"/>
        <v>7.6650043308267701</v>
      </c>
      <c r="AI32" s="1249">
        <f t="shared" si="27"/>
        <v>7.8340239922549015</v>
      </c>
      <c r="AJ32" s="1249">
        <f t="shared" si="28"/>
        <v>11.792596578351473</v>
      </c>
      <c r="AK32" s="1249">
        <f t="shared" si="29"/>
        <v>0</v>
      </c>
      <c r="AL32" s="1249">
        <f t="shared" si="30"/>
        <v>18.528958087618573</v>
      </c>
      <c r="AM32" s="1250">
        <f t="shared" si="31"/>
        <v>0</v>
      </c>
      <c r="AN32" s="1176">
        <v>2030</v>
      </c>
      <c r="AO32" s="1322">
        <f t="array" ref="AO32">1/SUMPRODUCT(IFERROR(1/V32:AA32,0),'Mkt Pen Veh-Mi'!B32:G32)</f>
        <v>8.392952413886654</v>
      </c>
      <c r="AP32" s="1323">
        <f t="array" ref="AP32">1/SUMPRODUCT(IFERROR(1/AB32:AG32,0),'Mkt Pen Veh-Mi'!H32:M32)</f>
        <v>8.1376760513583424</v>
      </c>
      <c r="AQ32" s="1327">
        <f t="array" ref="AQ32">1/SUMPRODUCT(IFERROR(1/AH32:AM32,0),'Mkt Pen Veh-Mi'!N32:S32)</f>
        <v>9.1534933951298214</v>
      </c>
      <c r="AR32" s="1320">
        <v>2030</v>
      </c>
      <c r="AS32" s="1322">
        <f t="shared" si="32"/>
        <v>1.0670904073538447</v>
      </c>
      <c r="AT32" s="1323">
        <f t="shared" si="33"/>
        <v>1.1136939358368383</v>
      </c>
      <c r="AU32" s="1323">
        <f t="shared" si="34"/>
        <v>1.1941928536578528</v>
      </c>
      <c r="AV32" s="1327">
        <v>1.1812981817033279</v>
      </c>
    </row>
    <row r="33" spans="1:48" s="1176" customFormat="1" ht="15" x14ac:dyDescent="0.25">
      <c r="A33" s="1191">
        <v>2031</v>
      </c>
      <c r="B33" s="1251">
        <f>IF('Mkt Pen Veh-Mi'!B33=0,1,1/((1-Fuel2ShrbyTech!B34)/'Inputs 7&amp;8 Sleep'!$N46+Fuel2ShrbyTech!B34/'Inputs 7&amp;8 Sleep'!$T46))</f>
        <v>7.9599764527524544</v>
      </c>
      <c r="C33" s="1252">
        <f>IF('Mkt Pen Veh-Mi'!C33=0,1,1/((1-Fuel2ShrbyTech!C34)/'Inputs 7&amp;8 Sleep'!$O46+Fuel2ShrbyTech!C34/'Inputs 7&amp;8 Sleep'!$U46))</f>
        <v>8.6086181413368354</v>
      </c>
      <c r="D33" s="1252">
        <f>IF('Mkt Pen Veh-Mi'!D33=0,1,1/((1-Fuel2ShrbyTech!D34)/'Inputs 7&amp;8 Sleep'!$P46+Fuel2ShrbyTech!D34/'Inputs 7&amp;8 Sleep'!$V46))</f>
        <v>9.2717256384029589</v>
      </c>
      <c r="E33" s="1252">
        <f>IF('Mkt Pen Veh-Mi'!E33=0,1,1/((1-Fuel2ShrbyTech!E34)/'Inputs 7&amp;8 Sleep'!$Q46+Fuel2ShrbyTech!E34/'Inputs 7&amp;8 Sleep'!$W46))</f>
        <v>1</v>
      </c>
      <c r="F33" s="1252">
        <f>IF('Mkt Pen Veh-Mi'!F33=0,1,1/((1-Fuel2ShrbyTech!F34)/'Inputs 7&amp;8 Sleep'!$R46+Fuel2ShrbyTech!F34/'Inputs 7&amp;8 Sleep'!$X46))</f>
        <v>1</v>
      </c>
      <c r="G33" s="1253">
        <f>IF('Mkt Pen Veh-Mi'!G33=0,1,1/((1-Fuel2ShrbyTech!G34)/'Inputs 7&amp;8 Sleep'!$S46+Fuel2ShrbyTech!G34/'Inputs 7&amp;8 Sleep'!$Y46))</f>
        <v>1</v>
      </c>
      <c r="H33" s="1251">
        <f>IF('Mkt Pen Veh-Mi'!H33=0,1,1/((1-Fuel2ShrbyTech!H34)/'Inputs 7&amp;8 Day'!$N46+Fuel2ShrbyTech!H34/'Inputs 7&amp;8 Day'!$T46))</f>
        <v>7.3125555989863509</v>
      </c>
      <c r="I33" s="1252">
        <f>IF('Mkt Pen Veh-Mi'!I33=0,1,1/((1-Fuel2ShrbyTech!I34)/'Inputs 7&amp;8 Day'!$O46+Fuel2ShrbyTech!I34/'Inputs 7&amp;8 Day'!$U46))</f>
        <v>9.3358883447329433</v>
      </c>
      <c r="J33" s="1252">
        <f>IF('Mkt Pen Veh-Mi'!J33=0,1,1/((1-Fuel2ShrbyTech!J34)/'Inputs 7&amp;8 Day'!$P46+Fuel2ShrbyTech!J34/'Inputs 7&amp;8 Day'!$V46))</f>
        <v>9.9955870410270293</v>
      </c>
      <c r="K33" s="1252">
        <f>IF('Mkt Pen Veh-Mi'!K33=0,1,1/((1-Fuel2ShrbyTech!K34)/'Inputs 7&amp;8 Day'!$Q46+Fuel2ShrbyTech!K34/'Inputs 7&amp;8 Day'!$W46))</f>
        <v>1</v>
      </c>
      <c r="L33" s="1252">
        <f>IF('Mkt Pen Veh-Mi'!L33=0,1,1/((1-Fuel2ShrbyTech!L34)/'Inputs 7&amp;8 Day'!$R46+Fuel2ShrbyTech!L34/'Inputs 7&amp;8 Day'!$X46))</f>
        <v>1</v>
      </c>
      <c r="M33" s="1253">
        <f>IF('Mkt Pen Veh-Mi'!M33=0,1,1/((1-Fuel2ShrbyTech!M34)/'Inputs 7&amp;8 Day'!$S46+Fuel2ShrbyTech!M34/'Inputs 7&amp;8 Day'!$Y46))</f>
        <v>1</v>
      </c>
      <c r="N33" s="1251">
        <f>IF('Mkt Pen Veh-Mi'!N33=0,1,1/((1-Fuel2ShrbyTech!N34)/'Inputs 7&amp;8 SU'!$N46+Fuel2ShrbyTech!N34/'Inputs 7&amp;8 SU'!$T46))</f>
        <v>7.8124608729980718</v>
      </c>
      <c r="O33" s="1252">
        <f>IF('Mkt Pen Veh-Mi'!O33=0,1,1/((1-Fuel2ShrbyTech!O34)/'Inputs 7&amp;8 SU'!$O46+Fuel2ShrbyTech!O34/'Inputs 7&amp;8 SU'!$U46))</f>
        <v>7.8947372245238103</v>
      </c>
      <c r="P33" s="1252">
        <f>IF('Mkt Pen Veh-Mi'!P33=0,1,1/((1-Fuel2ShrbyTech!P34)/'Inputs 7&amp;8 SU'!$P46+Fuel2ShrbyTech!P34/'Inputs 7&amp;8 SU'!$V46))</f>
        <v>11.94353766625734</v>
      </c>
      <c r="Q33" s="1252">
        <f>IF('Mkt Pen Veh-Mi'!Q33=0,1,1/((1-Fuel2ShrbyTech!Q34)/'Inputs 7&amp;8 SU'!$Q46+Fuel2ShrbyTech!Q34/'Inputs 7&amp;8 SU'!$W46))</f>
        <v>1</v>
      </c>
      <c r="R33" s="1252">
        <f>IF('Mkt Pen Veh-Mi'!R33=0,1,1/((1-Fuel2ShrbyTech!R34)/'Inputs 7&amp;8 SU'!$R46+Fuel2ShrbyTech!R34/'Inputs 7&amp;8 SU'!$X46))</f>
        <v>18.727845819400677</v>
      </c>
      <c r="S33" s="1253">
        <f>IF('Mkt Pen Veh-Mi'!S33=0,1,1/((1-Fuel2ShrbyTech!S34)/'Inputs 7&amp;8 SU'!$S46+Fuel2ShrbyTech!S34/'Inputs 7&amp;8 SU'!$Y46))</f>
        <v>1</v>
      </c>
      <c r="U33" s="1191">
        <f t="shared" si="13"/>
        <v>2031</v>
      </c>
      <c r="V33" s="1251">
        <f t="shared" si="14"/>
        <v>7.9599764527524544</v>
      </c>
      <c r="W33" s="1252">
        <f t="shared" si="15"/>
        <v>8.6086181413368354</v>
      </c>
      <c r="X33" s="1252">
        <f t="shared" si="16"/>
        <v>9.2717256384029589</v>
      </c>
      <c r="Y33" s="1252">
        <f t="shared" si="17"/>
        <v>0</v>
      </c>
      <c r="Z33" s="1252">
        <f t="shared" si="18"/>
        <v>0</v>
      </c>
      <c r="AA33" s="1253">
        <f t="shared" si="19"/>
        <v>0</v>
      </c>
      <c r="AB33" s="1251">
        <f t="shared" si="20"/>
        <v>7.3125555989863509</v>
      </c>
      <c r="AC33" s="1252">
        <f t="shared" si="21"/>
        <v>9.3358883447329433</v>
      </c>
      <c r="AD33" s="1252">
        <f t="shared" si="22"/>
        <v>9.9955870410270293</v>
      </c>
      <c r="AE33" s="1252">
        <f t="shared" si="23"/>
        <v>0</v>
      </c>
      <c r="AF33" s="1252">
        <f t="shared" si="24"/>
        <v>0</v>
      </c>
      <c r="AG33" s="1253">
        <f t="shared" si="25"/>
        <v>0</v>
      </c>
      <c r="AH33" s="1251">
        <f t="shared" si="26"/>
        <v>7.8124608729980718</v>
      </c>
      <c r="AI33" s="1252">
        <f t="shared" si="27"/>
        <v>7.8947372245238103</v>
      </c>
      <c r="AJ33" s="1252">
        <f t="shared" si="28"/>
        <v>11.94353766625734</v>
      </c>
      <c r="AK33" s="1252">
        <f t="shared" si="29"/>
        <v>0</v>
      </c>
      <c r="AL33" s="1252">
        <f t="shared" si="30"/>
        <v>18.727845819400677</v>
      </c>
      <c r="AM33" s="1253">
        <f t="shared" si="31"/>
        <v>0</v>
      </c>
      <c r="AN33" s="1176">
        <v>2031</v>
      </c>
      <c r="AO33" s="1322">
        <f t="array" ref="AO33">1/SUMPRODUCT(IFERROR(1/V33:AA33,0),'Mkt Pen Veh-Mi'!B33:G33)</f>
        <v>8.7222475772925225</v>
      </c>
      <c r="AP33" s="1323">
        <f t="array" ref="AP33">1/SUMPRODUCT(IFERROR(1/AB33:AG33,0),'Mkt Pen Veh-Mi'!H33:M33)</f>
        <v>8.5927435267363848</v>
      </c>
      <c r="AQ33" s="1327">
        <f t="array" ref="AQ33">1/SUMPRODUCT(IFERROR(1/AH33:AM33,0),'Mkt Pen Veh-Mi'!N33:S33)</f>
        <v>9.8586203860830164</v>
      </c>
      <c r="AR33" s="1320">
        <v>2031</v>
      </c>
      <c r="AS33" s="1322">
        <f t="shared" si="32"/>
        <v>1.0957629873737234</v>
      </c>
      <c r="AT33" s="1323">
        <f t="shared" si="33"/>
        <v>1.1750671034798683</v>
      </c>
      <c r="AU33" s="1323">
        <f t="shared" si="34"/>
        <v>1.2619097293859112</v>
      </c>
      <c r="AV33" s="1327">
        <v>1.2181775878152028</v>
      </c>
    </row>
    <row r="34" spans="1:48" s="1176" customFormat="1" ht="15" x14ac:dyDescent="0.25">
      <c r="A34" s="1191">
        <v>2032</v>
      </c>
      <c r="B34" s="1245">
        <f>IF('Mkt Pen Veh-Mi'!B34=0,1,1/((1-Fuel2ShrbyTech!B35)/'Inputs 7&amp;8 Sleep'!$N47+Fuel2ShrbyTech!B35/'Inputs 7&amp;8 Sleep'!$T47))</f>
        <v>8.0214709255018093</v>
      </c>
      <c r="C34" s="1246">
        <f>IF('Mkt Pen Veh-Mi'!C34=0,1,1/((1-Fuel2ShrbyTech!C35)/'Inputs 7&amp;8 Sleep'!$O47+Fuel2ShrbyTech!C35/'Inputs 7&amp;8 Sleep'!$U47))</f>
        <v>8.7380045678242517</v>
      </c>
      <c r="D34" s="1246">
        <f>IF('Mkt Pen Veh-Mi'!D34=0,1,1/((1-Fuel2ShrbyTech!D35)/'Inputs 7&amp;8 Sleep'!$P47+Fuel2ShrbyTech!D35/'Inputs 7&amp;8 Sleep'!$V47))</f>
        <v>9.4150275543172555</v>
      </c>
      <c r="E34" s="1246">
        <f>IF('Mkt Pen Veh-Mi'!E34=0,1,1/((1-Fuel2ShrbyTech!E35)/'Inputs 7&amp;8 Sleep'!$Q47+Fuel2ShrbyTech!E35/'Inputs 7&amp;8 Sleep'!$W47))</f>
        <v>1</v>
      </c>
      <c r="F34" s="1246">
        <f>IF('Mkt Pen Veh-Mi'!F34=0,1,1/((1-Fuel2ShrbyTech!F35)/'Inputs 7&amp;8 Sleep'!$R47+Fuel2ShrbyTech!F35/'Inputs 7&amp;8 Sleep'!$X47))</f>
        <v>1</v>
      </c>
      <c r="G34" s="1247">
        <f>IF('Mkt Pen Veh-Mi'!G34=0,1,1/((1-Fuel2ShrbyTech!G35)/'Inputs 7&amp;8 Sleep'!$S47+Fuel2ShrbyTech!G35/'Inputs 7&amp;8 Sleep'!$Y47))</f>
        <v>1</v>
      </c>
      <c r="H34" s="1245">
        <f>IF('Mkt Pen Veh-Mi'!H34=0,1,1/((1-Fuel2ShrbyTech!H35)/'Inputs 7&amp;8 Day'!$N47+Fuel2ShrbyTech!H35/'Inputs 7&amp;8 Day'!$T47))</f>
        <v>7.3181923450895674</v>
      </c>
      <c r="I34" s="1246">
        <f>IF('Mkt Pen Veh-Mi'!I34=0,1,1/((1-Fuel2ShrbyTech!I35)/'Inputs 7&amp;8 Day'!$O47+Fuel2ShrbyTech!I35/'Inputs 7&amp;8 Day'!$U47))</f>
        <v>9.5513354178208179</v>
      </c>
      <c r="J34" s="1246">
        <f>IF('Mkt Pen Veh-Mi'!J34=0,1,1/((1-Fuel2ShrbyTech!J35)/'Inputs 7&amp;8 Day'!$P47+Fuel2ShrbyTech!J35/'Inputs 7&amp;8 Day'!$V47))</f>
        <v>10.239292915607265</v>
      </c>
      <c r="K34" s="1246">
        <f>IF('Mkt Pen Veh-Mi'!K34=0,1,1/((1-Fuel2ShrbyTech!K35)/'Inputs 7&amp;8 Day'!$Q47+Fuel2ShrbyTech!K35/'Inputs 7&amp;8 Day'!$W47))</f>
        <v>1</v>
      </c>
      <c r="L34" s="1246">
        <f>IF('Mkt Pen Veh-Mi'!L34=0,1,1/((1-Fuel2ShrbyTech!L35)/'Inputs 7&amp;8 Day'!$R47+Fuel2ShrbyTech!L35/'Inputs 7&amp;8 Day'!$X47))</f>
        <v>1</v>
      </c>
      <c r="M34" s="1247">
        <f>IF('Mkt Pen Veh-Mi'!M34=0,1,1/((1-Fuel2ShrbyTech!M35)/'Inputs 7&amp;8 Day'!$S47+Fuel2ShrbyTech!M35/'Inputs 7&amp;8 Day'!$Y47))</f>
        <v>1</v>
      </c>
      <c r="N34" s="1245">
        <f>IF('Mkt Pen Veh-Mi'!N34=0,1,1/((1-Fuel2ShrbyTech!N35)/'Inputs 7&amp;8 SU'!$N47+Fuel2ShrbyTech!N35/'Inputs 7&amp;8 SU'!$T47))</f>
        <v>7.8283446817637188</v>
      </c>
      <c r="O34" s="1246">
        <f>IF('Mkt Pen Veh-Mi'!O34=0,1,1/((1-Fuel2ShrbyTech!O35)/'Inputs 7&amp;8 SU'!$O47+Fuel2ShrbyTech!O35/'Inputs 7&amp;8 SU'!$U47))</f>
        <v>7.9274175854634077</v>
      </c>
      <c r="P34" s="1246">
        <f>IF('Mkt Pen Veh-Mi'!P34=0,1,1/((1-Fuel2ShrbyTech!P35)/'Inputs 7&amp;8 SU'!$P47+Fuel2ShrbyTech!P35/'Inputs 7&amp;8 SU'!$V47))</f>
        <v>12.024785345701106</v>
      </c>
      <c r="Q34" s="1246">
        <f>IF('Mkt Pen Veh-Mi'!Q34=0,1,1/((1-Fuel2ShrbyTech!Q35)/'Inputs 7&amp;8 SU'!$Q47+Fuel2ShrbyTech!Q35/'Inputs 7&amp;8 SU'!$W47))</f>
        <v>1</v>
      </c>
      <c r="R34" s="1246">
        <f>IF('Mkt Pen Veh-Mi'!R34=0,1,1/((1-Fuel2ShrbyTech!R35)/'Inputs 7&amp;8 SU'!$R47+Fuel2ShrbyTech!R35/'Inputs 7&amp;8 SU'!$X47))</f>
        <v>18.834901935805558</v>
      </c>
      <c r="S34" s="1247">
        <f>IF('Mkt Pen Veh-Mi'!S34=0,1,1/((1-Fuel2ShrbyTech!S35)/'Inputs 7&amp;8 SU'!$S47+Fuel2ShrbyTech!S35/'Inputs 7&amp;8 SU'!$Y47))</f>
        <v>1</v>
      </c>
      <c r="U34" s="1191">
        <f t="shared" si="13"/>
        <v>2032</v>
      </c>
      <c r="V34" s="1245">
        <f t="shared" si="14"/>
        <v>8.0214709255018093</v>
      </c>
      <c r="W34" s="1246">
        <f t="shared" si="15"/>
        <v>8.7380045678242517</v>
      </c>
      <c r="X34" s="1246">
        <f t="shared" si="16"/>
        <v>9.4150275543172555</v>
      </c>
      <c r="Y34" s="1246">
        <f t="shared" si="17"/>
        <v>0</v>
      </c>
      <c r="Z34" s="1246">
        <f t="shared" si="18"/>
        <v>0</v>
      </c>
      <c r="AA34" s="1247">
        <f t="shared" si="19"/>
        <v>0</v>
      </c>
      <c r="AB34" s="1245">
        <f t="shared" si="20"/>
        <v>7.3181923450895674</v>
      </c>
      <c r="AC34" s="1246">
        <f t="shared" si="21"/>
        <v>9.5513354178208179</v>
      </c>
      <c r="AD34" s="1246">
        <f t="shared" si="22"/>
        <v>10.239292915607265</v>
      </c>
      <c r="AE34" s="1246">
        <f t="shared" si="23"/>
        <v>0</v>
      </c>
      <c r="AF34" s="1246">
        <f t="shared" si="24"/>
        <v>0</v>
      </c>
      <c r="AG34" s="1247">
        <f t="shared" si="25"/>
        <v>0</v>
      </c>
      <c r="AH34" s="1245">
        <f t="shared" si="26"/>
        <v>7.8283446817637188</v>
      </c>
      <c r="AI34" s="1246">
        <f t="shared" si="27"/>
        <v>7.9274175854634077</v>
      </c>
      <c r="AJ34" s="1246">
        <f t="shared" si="28"/>
        <v>12.024785345701106</v>
      </c>
      <c r="AK34" s="1246">
        <f t="shared" si="29"/>
        <v>0</v>
      </c>
      <c r="AL34" s="1246">
        <f t="shared" si="30"/>
        <v>18.834901935805558</v>
      </c>
      <c r="AM34" s="1247">
        <f t="shared" si="31"/>
        <v>0</v>
      </c>
      <c r="AN34" s="1176">
        <v>2032</v>
      </c>
      <c r="AO34" s="1322">
        <f t="array" ref="AO34">1/SUMPRODUCT(IFERROR(1/V34:AA34,0),'Mkt Pen Veh-Mi'!B34:G34)</f>
        <v>8.9318540762156093</v>
      </c>
      <c r="AP34" s="1323">
        <f t="array" ref="AP34">1/SUMPRODUCT(IFERROR(1/AB34:AG34,0),'Mkt Pen Veh-Mi'!H34:M34)</f>
        <v>8.9266721537229525</v>
      </c>
      <c r="AQ34" s="1327">
        <f t="array" ref="AQ34">1/SUMPRODUCT(IFERROR(1/AH34:AM34,0),'Mkt Pen Veh-Mi'!N34:S34)</f>
        <v>10.111550010257178</v>
      </c>
      <c r="AR34" s="1320">
        <v>2032</v>
      </c>
      <c r="AS34" s="1322">
        <f t="shared" si="32"/>
        <v>1.1134932930841295</v>
      </c>
      <c r="AT34" s="1323">
        <f t="shared" si="33"/>
        <v>1.219791955825356</v>
      </c>
      <c r="AU34" s="1323">
        <f t="shared" si="34"/>
        <v>1.2916587632903072</v>
      </c>
      <c r="AV34" s="1327">
        <v>1.2746723773692126</v>
      </c>
    </row>
    <row r="35" spans="1:48" s="1176" customFormat="1" ht="15" x14ac:dyDescent="0.25">
      <c r="A35" s="1191">
        <v>2033</v>
      </c>
      <c r="B35" s="1245">
        <f>IF('Mkt Pen Veh-Mi'!B35=0,1,1/((1-Fuel2ShrbyTech!B36)/'Inputs 7&amp;8 Sleep'!$N48+Fuel2ShrbyTech!B36/'Inputs 7&amp;8 Sleep'!$T48))</f>
        <v>8.0395269119106274</v>
      </c>
      <c r="C35" s="1246">
        <f>IF('Mkt Pen Veh-Mi'!C35=0,1,1/((1-Fuel2ShrbyTech!C36)/'Inputs 7&amp;8 Sleep'!$O48+Fuel2ShrbyTech!C36/'Inputs 7&amp;8 Sleep'!$U48))</f>
        <v>8.8056882636367533</v>
      </c>
      <c r="D35" s="1246">
        <f>IF('Mkt Pen Veh-Mi'!D35=0,1,1/((1-Fuel2ShrbyTech!D36)/'Inputs 7&amp;8 Sleep'!$P48+Fuel2ShrbyTech!D36/'Inputs 7&amp;8 Sleep'!$V48))</f>
        <v>9.4899906207640683</v>
      </c>
      <c r="E35" s="1246">
        <f>IF('Mkt Pen Veh-Mi'!E35=0,1,1/((1-Fuel2ShrbyTech!E36)/'Inputs 7&amp;8 Sleep'!$Q48+Fuel2ShrbyTech!E36/'Inputs 7&amp;8 Sleep'!$W48))</f>
        <v>1</v>
      </c>
      <c r="F35" s="1246">
        <f>IF('Mkt Pen Veh-Mi'!F35=0,1,1/((1-Fuel2ShrbyTech!F36)/'Inputs 7&amp;8 Sleep'!$R48+Fuel2ShrbyTech!F36/'Inputs 7&amp;8 Sleep'!$X48))</f>
        <v>1</v>
      </c>
      <c r="G35" s="1247">
        <f>IF('Mkt Pen Veh-Mi'!G35=0,1,1/((1-Fuel2ShrbyTech!G36)/'Inputs 7&amp;8 Sleep'!$S48+Fuel2ShrbyTech!G36/'Inputs 7&amp;8 Sleep'!$Y48))</f>
        <v>1</v>
      </c>
      <c r="H35" s="1245">
        <f>IF('Mkt Pen Veh-Mi'!H35=0,1,1/((1-Fuel2ShrbyTech!H36)/'Inputs 7&amp;8 Day'!$N48+Fuel2ShrbyTech!H36/'Inputs 7&amp;8 Day'!$T48))</f>
        <v>7.3238334361726238</v>
      </c>
      <c r="I35" s="1246">
        <f>IF('Mkt Pen Veh-Mi'!I35=0,1,1/((1-Fuel2ShrbyTech!I36)/'Inputs 7&amp;8 Day'!$O48+Fuel2ShrbyTech!I36/'Inputs 7&amp;8 Day'!$U48))</f>
        <v>9.6798654708953897</v>
      </c>
      <c r="J35" s="1246">
        <f>IF('Mkt Pen Veh-Mi'!J35=0,1,1/((1-Fuel2ShrbyTech!J36)/'Inputs 7&amp;8 Day'!$P48+Fuel2ShrbyTech!J36/'Inputs 7&amp;8 Day'!$V48))</f>
        <v>10.384681425859187</v>
      </c>
      <c r="K35" s="1246">
        <f>IF('Mkt Pen Veh-Mi'!K35=0,1,1/((1-Fuel2ShrbyTech!K36)/'Inputs 7&amp;8 Day'!$Q48+Fuel2ShrbyTech!K36/'Inputs 7&amp;8 Day'!$W48))</f>
        <v>1</v>
      </c>
      <c r="L35" s="1246">
        <f>IF('Mkt Pen Veh-Mi'!L35=0,1,1/((1-Fuel2ShrbyTech!L36)/'Inputs 7&amp;8 Day'!$R48+Fuel2ShrbyTech!L36/'Inputs 7&amp;8 Day'!$X48))</f>
        <v>1</v>
      </c>
      <c r="M35" s="1247">
        <f>IF('Mkt Pen Veh-Mi'!M35=0,1,1/((1-Fuel2ShrbyTech!M36)/'Inputs 7&amp;8 Day'!$S48+Fuel2ShrbyTech!M36/'Inputs 7&amp;8 Day'!$Y48))</f>
        <v>1</v>
      </c>
      <c r="N35" s="1245">
        <f>IF('Mkt Pen Veh-Mi'!N35=0,1,1/((1-Fuel2ShrbyTech!N36)/'Inputs 7&amp;8 SU'!$N48+Fuel2ShrbyTech!N36/'Inputs 7&amp;8 SU'!$T48))</f>
        <v>7.8442607844998591</v>
      </c>
      <c r="O35" s="1246">
        <f>IF('Mkt Pen Veh-Mi'!O35=0,1,1/((1-Fuel2ShrbyTech!O36)/'Inputs 7&amp;8 SU'!$O48+Fuel2ShrbyTech!O36/'Inputs 7&amp;8 SU'!$U48))</f>
        <v>7.9431406496756223</v>
      </c>
      <c r="P35" s="1246">
        <f>IF('Mkt Pen Veh-Mi'!P35=0,1,1/((1-Fuel2ShrbyTech!P36)/'Inputs 7&amp;8 SU'!$P48+Fuel2ShrbyTech!P36/'Inputs 7&amp;8 SU'!$V48))</f>
        <v>12.063874953167465</v>
      </c>
      <c r="Q35" s="1246">
        <f>IF('Mkt Pen Veh-Mi'!Q35=0,1,1/((1-Fuel2ShrbyTech!Q36)/'Inputs 7&amp;8 SU'!$Q48+Fuel2ShrbyTech!Q36/'Inputs 7&amp;8 SU'!$W48))</f>
        <v>1</v>
      </c>
      <c r="R35" s="1246">
        <f>IF('Mkt Pen Veh-Mi'!R35=0,1,1/((1-Fuel2ShrbyTech!R36)/'Inputs 7&amp;8 SU'!$R48+Fuel2ShrbyTech!R36/'Inputs 7&amp;8 SU'!$X48))</f>
        <v>18.886408410769384</v>
      </c>
      <c r="S35" s="1247">
        <f>IF('Mkt Pen Veh-Mi'!S35=0,1,1/((1-Fuel2ShrbyTech!S36)/'Inputs 7&amp;8 SU'!$S48+Fuel2ShrbyTech!S36/'Inputs 7&amp;8 SU'!$Y48))</f>
        <v>1</v>
      </c>
      <c r="U35" s="1191">
        <f t="shared" si="13"/>
        <v>2033</v>
      </c>
      <c r="V35" s="1245">
        <f t="shared" si="14"/>
        <v>8.0395269119106274</v>
      </c>
      <c r="W35" s="1246">
        <f t="shared" si="15"/>
        <v>8.8056882636367533</v>
      </c>
      <c r="X35" s="1246">
        <f t="shared" si="16"/>
        <v>9.4899906207640683</v>
      </c>
      <c r="Y35" s="1246">
        <f t="shared" si="17"/>
        <v>0</v>
      </c>
      <c r="Z35" s="1246">
        <f t="shared" si="18"/>
        <v>0</v>
      </c>
      <c r="AA35" s="1247">
        <f t="shared" si="19"/>
        <v>0</v>
      </c>
      <c r="AB35" s="1245">
        <f t="shared" si="20"/>
        <v>7.3238334361726238</v>
      </c>
      <c r="AC35" s="1246">
        <f t="shared" si="21"/>
        <v>9.6798654708953897</v>
      </c>
      <c r="AD35" s="1246">
        <f t="shared" si="22"/>
        <v>10.384681425859187</v>
      </c>
      <c r="AE35" s="1246">
        <f t="shared" si="23"/>
        <v>0</v>
      </c>
      <c r="AF35" s="1246">
        <f t="shared" si="24"/>
        <v>0</v>
      </c>
      <c r="AG35" s="1247">
        <f t="shared" si="25"/>
        <v>0</v>
      </c>
      <c r="AH35" s="1245">
        <f t="shared" si="26"/>
        <v>7.8442607844998591</v>
      </c>
      <c r="AI35" s="1246">
        <f t="shared" si="27"/>
        <v>7.9431406496756223</v>
      </c>
      <c r="AJ35" s="1246">
        <f t="shared" si="28"/>
        <v>12.063874953167465</v>
      </c>
      <c r="AK35" s="1246">
        <f t="shared" si="29"/>
        <v>0</v>
      </c>
      <c r="AL35" s="1246">
        <f t="shared" si="30"/>
        <v>18.886408410769384</v>
      </c>
      <c r="AM35" s="1247">
        <f t="shared" si="31"/>
        <v>0</v>
      </c>
      <c r="AN35" s="1176">
        <v>2033</v>
      </c>
      <c r="AO35" s="1322">
        <f t="array" ref="AO35">1/SUMPRODUCT(IFERROR(1/V35:AA35,0),'Mkt Pen Veh-Mi'!B35:G35)</f>
        <v>9.0387960102001603</v>
      </c>
      <c r="AP35" s="1323">
        <f t="array" ref="AP35">1/SUMPRODUCT(IFERROR(1/AB35:AG35,0),'Mkt Pen Veh-Mi'!H35:M35)</f>
        <v>9.1224703958492199</v>
      </c>
      <c r="AQ35" s="1327">
        <f t="array" ref="AQ35">1/SUMPRODUCT(IFERROR(1/AH35:AM35,0),'Mkt Pen Veh-Mi'!N35:S35)</f>
        <v>10.241594341219267</v>
      </c>
      <c r="AR35" s="1320">
        <v>2033</v>
      </c>
      <c r="AS35" s="1322">
        <f t="shared" si="32"/>
        <v>1.1242945149930534</v>
      </c>
      <c r="AT35" s="1323">
        <f t="shared" si="33"/>
        <v>1.2455868194370829</v>
      </c>
      <c r="AU35" s="1323">
        <f t="shared" si="34"/>
        <v>1.3056162489468099</v>
      </c>
      <c r="AV35" s="1327">
        <v>1.3942553676087848</v>
      </c>
    </row>
    <row r="36" spans="1:48" s="1176" customFormat="1" ht="15" x14ac:dyDescent="0.25">
      <c r="A36" s="1191">
        <v>2034</v>
      </c>
      <c r="B36" s="1245">
        <f>IF('Mkt Pen Veh-Mi'!B36=0,1,1/((1-Fuel2ShrbyTech!B37)/'Inputs 7&amp;8 Sleep'!$N49+Fuel2ShrbyTech!B37/'Inputs 7&amp;8 Sleep'!$T49))</f>
        <v>8.0572116034836725</v>
      </c>
      <c r="C36" s="1246">
        <f>IF('Mkt Pen Veh-Mi'!C36=0,1,1/((1-Fuel2ShrbyTech!C37)/'Inputs 7&amp;8 Sleep'!$O49+Fuel2ShrbyTech!C37/'Inputs 7&amp;8 Sleep'!$U49))</f>
        <v>8.8377788925386387</v>
      </c>
      <c r="D36" s="1246">
        <f>IF('Mkt Pen Veh-Mi'!D36=0,1,1/((1-Fuel2ShrbyTech!D37)/'Inputs 7&amp;8 Sleep'!$P49+Fuel2ShrbyTech!D37/'Inputs 7&amp;8 Sleep'!$V49))</f>
        <v>9.5255325916599247</v>
      </c>
      <c r="E36" s="1246">
        <f>IF('Mkt Pen Veh-Mi'!E36=0,1,1/((1-Fuel2ShrbyTech!E37)/'Inputs 7&amp;8 Sleep'!$Q49+Fuel2ShrbyTech!E37/'Inputs 7&amp;8 Sleep'!$W49))</f>
        <v>1</v>
      </c>
      <c r="F36" s="1246">
        <f>IF('Mkt Pen Veh-Mi'!F36=0,1,1/((1-Fuel2ShrbyTech!F37)/'Inputs 7&amp;8 Sleep'!$R49+Fuel2ShrbyTech!F37/'Inputs 7&amp;8 Sleep'!$X49))</f>
        <v>1</v>
      </c>
      <c r="G36" s="1247">
        <f>IF('Mkt Pen Veh-Mi'!G36=0,1,1/((1-Fuel2ShrbyTech!G37)/'Inputs 7&amp;8 Sleep'!$S49+Fuel2ShrbyTech!G37/'Inputs 7&amp;8 Sleep'!$Y49))</f>
        <v>1</v>
      </c>
      <c r="H36" s="1245">
        <f>IF('Mkt Pen Veh-Mi'!H36=0,1,1/((1-Fuel2ShrbyTech!H37)/'Inputs 7&amp;8 Day'!$N49+Fuel2ShrbyTech!H37/'Inputs 7&amp;8 Day'!$T49))</f>
        <v>7.3294788755847629</v>
      </c>
      <c r="I36" s="1246">
        <f>IF('Mkt Pen Veh-Mi'!I36=0,1,1/((1-Fuel2ShrbyTech!I37)/'Inputs 7&amp;8 Day'!$O49+Fuel2ShrbyTech!I37/'Inputs 7&amp;8 Day'!$U49))</f>
        <v>9.7477049421836028</v>
      </c>
      <c r="J36" s="1246">
        <f>IF('Mkt Pen Veh-Mi'!J36=0,1,1/((1-Fuel2ShrbyTech!J37)/'Inputs 7&amp;8 Day'!$P49+Fuel2ShrbyTech!J37/'Inputs 7&amp;8 Day'!$V49))</f>
        <v>10.461418962574813</v>
      </c>
      <c r="K36" s="1246">
        <f>IF('Mkt Pen Veh-Mi'!K36=0,1,1/((1-Fuel2ShrbyTech!K37)/'Inputs 7&amp;8 Day'!$Q49+Fuel2ShrbyTech!K37/'Inputs 7&amp;8 Day'!$W49))</f>
        <v>1</v>
      </c>
      <c r="L36" s="1246">
        <f>IF('Mkt Pen Veh-Mi'!L36=0,1,1/((1-Fuel2ShrbyTech!L37)/'Inputs 7&amp;8 Day'!$R49+Fuel2ShrbyTech!L37/'Inputs 7&amp;8 Day'!$X49))</f>
        <v>1</v>
      </c>
      <c r="M36" s="1247">
        <f>IF('Mkt Pen Veh-Mi'!M36=0,1,1/((1-Fuel2ShrbyTech!M37)/'Inputs 7&amp;8 Day'!$S49+Fuel2ShrbyTech!M37/'Inputs 7&amp;8 Day'!$Y49))</f>
        <v>1</v>
      </c>
      <c r="N36" s="1245">
        <f>IF('Mkt Pen Veh-Mi'!N36=0,1,1/((1-Fuel2ShrbyTech!N37)/'Inputs 7&amp;8 SU'!$N49+Fuel2ShrbyTech!N37/'Inputs 7&amp;8 SU'!$T49))</f>
        <v>7.8602092468645806</v>
      </c>
      <c r="O36" s="1246">
        <f>IF('Mkt Pen Veh-Mi'!O36=0,1,1/((1-Fuel2ShrbyTech!O37)/'Inputs 7&amp;8 SU'!$O49+Fuel2ShrbyTech!O37/'Inputs 7&amp;8 SU'!$U49))</f>
        <v>7.9502962789812743</v>
      </c>
      <c r="P36" s="1246">
        <f>IF('Mkt Pen Veh-Mi'!P36=0,1,1/((1-Fuel2ShrbyTech!P37)/'Inputs 7&amp;8 SU'!$P49+Fuel2ShrbyTech!P37/'Inputs 7&amp;8 SU'!$V49))</f>
        <v>12.081664789611395</v>
      </c>
      <c r="Q36" s="1246">
        <f>IF('Mkt Pen Veh-Mi'!Q36=0,1,1/((1-Fuel2ShrbyTech!Q37)/'Inputs 7&amp;8 SU'!$Q49+Fuel2ShrbyTech!Q37/'Inputs 7&amp;8 SU'!$W49))</f>
        <v>1</v>
      </c>
      <c r="R36" s="1246">
        <f>IF('Mkt Pen Veh-Mi'!R36=0,1,1/((1-Fuel2ShrbyTech!R37)/'Inputs 7&amp;8 SU'!$R49+Fuel2ShrbyTech!R37/'Inputs 7&amp;8 SU'!$X49))</f>
        <v>18.909849213192345</v>
      </c>
      <c r="S36" s="1247">
        <f>IF('Mkt Pen Veh-Mi'!S36=0,1,1/((1-Fuel2ShrbyTech!S37)/'Inputs 7&amp;8 SU'!$S49+Fuel2ShrbyTech!S37/'Inputs 7&amp;8 SU'!$Y49))</f>
        <v>1</v>
      </c>
      <c r="U36" s="1191">
        <f t="shared" si="13"/>
        <v>2034</v>
      </c>
      <c r="V36" s="1245">
        <f t="shared" si="14"/>
        <v>8.0572116034836725</v>
      </c>
      <c r="W36" s="1246">
        <f t="shared" si="15"/>
        <v>8.8377788925386387</v>
      </c>
      <c r="X36" s="1246">
        <f t="shared" si="16"/>
        <v>9.5255325916599247</v>
      </c>
      <c r="Y36" s="1246">
        <f t="shared" si="17"/>
        <v>0</v>
      </c>
      <c r="Z36" s="1246">
        <f t="shared" si="18"/>
        <v>0</v>
      </c>
      <c r="AA36" s="1247">
        <f t="shared" si="19"/>
        <v>0</v>
      </c>
      <c r="AB36" s="1245">
        <f t="shared" si="20"/>
        <v>7.3294788755847629</v>
      </c>
      <c r="AC36" s="1246">
        <f t="shared" si="21"/>
        <v>9.7477049421836028</v>
      </c>
      <c r="AD36" s="1246">
        <f t="shared" si="22"/>
        <v>10.461418962574813</v>
      </c>
      <c r="AE36" s="1246">
        <f t="shared" si="23"/>
        <v>0</v>
      </c>
      <c r="AF36" s="1246">
        <f t="shared" si="24"/>
        <v>0</v>
      </c>
      <c r="AG36" s="1247">
        <f t="shared" si="25"/>
        <v>0</v>
      </c>
      <c r="AH36" s="1245">
        <f t="shared" si="26"/>
        <v>7.8602092468645806</v>
      </c>
      <c r="AI36" s="1246">
        <f t="shared" si="27"/>
        <v>7.9502962789812743</v>
      </c>
      <c r="AJ36" s="1246">
        <f t="shared" si="28"/>
        <v>12.081664789611395</v>
      </c>
      <c r="AK36" s="1246">
        <f t="shared" si="29"/>
        <v>0</v>
      </c>
      <c r="AL36" s="1246">
        <f t="shared" si="30"/>
        <v>18.909849213192345</v>
      </c>
      <c r="AM36" s="1247">
        <f t="shared" si="31"/>
        <v>0</v>
      </c>
      <c r="AN36" s="1176">
        <v>2034</v>
      </c>
      <c r="AO36" s="1322">
        <f t="array" ref="AO36">1/SUMPRODUCT(IFERROR(1/V36:AA36,0),'Mkt Pen Veh-Mi'!B36:G36)</f>
        <v>9.0874444492719881</v>
      </c>
      <c r="AP36" s="1323">
        <f t="array" ref="AP36">1/SUMPRODUCT(IFERROR(1/AB36:AG36,0),'Mkt Pen Veh-Mi'!H36:M36)</f>
        <v>9.2384026001927051</v>
      </c>
      <c r="AQ36" s="1327">
        <f t="array" ref="AQ36">1/SUMPRODUCT(IFERROR(1/AH36:AM36,0),'Mkt Pen Veh-Mi'!N36:S36)</f>
        <v>10.313354472723962</v>
      </c>
      <c r="AR36" s="1320">
        <v>2034</v>
      </c>
      <c r="AS36" s="1322">
        <f t="shared" si="32"/>
        <v>1.1278646877466736</v>
      </c>
      <c r="AT36" s="1323">
        <f t="shared" si="33"/>
        <v>1.2604446723991198</v>
      </c>
      <c r="AU36" s="1323">
        <f t="shared" si="34"/>
        <v>1.3120966820110973</v>
      </c>
      <c r="AV36" s="1327">
        <v>1.5544037088823743</v>
      </c>
    </row>
    <row r="37" spans="1:48" s="1176" customFormat="1" ht="15" x14ac:dyDescent="0.25">
      <c r="A37" s="1197">
        <v>2035</v>
      </c>
      <c r="B37" s="1248">
        <f>IF('Mkt Pen Veh-Mi'!B37=0,1,1/((1-Fuel2ShrbyTech!B38)/'Inputs 7&amp;8 Sleep'!$N50+Fuel2ShrbyTech!B38/'Inputs 7&amp;8 Sleep'!$T50))</f>
        <v>8.0685847555815613</v>
      </c>
      <c r="C37" s="1249">
        <f>IF('Mkt Pen Veh-Mi'!C37=0,1,1/((1-Fuel2ShrbyTech!C38)/'Inputs 7&amp;8 Sleep'!$O50+Fuel2ShrbyTech!C38/'Inputs 7&amp;8 Sleep'!$U50))</f>
        <v>8.8636735516732301</v>
      </c>
      <c r="D37" s="1249">
        <f>IF('Mkt Pen Veh-Mi'!D37=0,1,1/((1-Fuel2ShrbyTech!D38)/'Inputs 7&amp;8 Sleep'!$P50+Fuel2ShrbyTech!D38/'Inputs 7&amp;8 Sleep'!$V50))</f>
        <v>9.5542122172332906</v>
      </c>
      <c r="E37" s="1249">
        <f>IF('Mkt Pen Veh-Mi'!E37=0,1,1/((1-Fuel2ShrbyTech!E38)/'Inputs 7&amp;8 Sleep'!$Q50+Fuel2ShrbyTech!E38/'Inputs 7&amp;8 Sleep'!$W50))</f>
        <v>1</v>
      </c>
      <c r="F37" s="1249">
        <f>IF('Mkt Pen Veh-Mi'!F37=0,1,1/((1-Fuel2ShrbyTech!F38)/'Inputs 7&amp;8 Sleep'!$R50+Fuel2ShrbyTech!F38/'Inputs 7&amp;8 Sleep'!$X50))</f>
        <v>1</v>
      </c>
      <c r="G37" s="1250">
        <f>IF('Mkt Pen Veh-Mi'!G37=0,1,1/((1-Fuel2ShrbyTech!G38)/'Inputs 7&amp;8 Sleep'!$S50+Fuel2ShrbyTech!G38/'Inputs 7&amp;8 Sleep'!$Y50))</f>
        <v>1</v>
      </c>
      <c r="H37" s="1248">
        <f>IF('Mkt Pen Veh-Mi'!H37=0,1,1/((1-Fuel2ShrbyTech!H38)/'Inputs 7&amp;8 Day'!$N50+Fuel2ShrbyTech!H38/'Inputs 7&amp;8 Day'!$T50))</f>
        <v>7.3351272149996589</v>
      </c>
      <c r="I37" s="1249">
        <f>IF('Mkt Pen Veh-Mi'!I37=0,1,1/((1-Fuel2ShrbyTech!I38)/'Inputs 7&amp;8 Day'!$O50+Fuel2ShrbyTech!I38/'Inputs 7&amp;8 Day'!$U50))</f>
        <v>9.8112798247637976</v>
      </c>
      <c r="J37" s="1249">
        <f>IF('Mkt Pen Veh-Mi'!J37=0,1,1/((1-Fuel2ShrbyTech!J38)/'Inputs 7&amp;8 Day'!$P50+Fuel2ShrbyTech!J38/'Inputs 7&amp;8 Day'!$V50))</f>
        <v>10.533332552016905</v>
      </c>
      <c r="K37" s="1249">
        <f>IF('Mkt Pen Veh-Mi'!K37=0,1,1/((1-Fuel2ShrbyTech!K38)/'Inputs 7&amp;8 Day'!$Q50+Fuel2ShrbyTech!K38/'Inputs 7&amp;8 Day'!$W50))</f>
        <v>1</v>
      </c>
      <c r="L37" s="1249">
        <f>IF('Mkt Pen Veh-Mi'!L37=0,1,1/((1-Fuel2ShrbyTech!L38)/'Inputs 7&amp;8 Day'!$R50+Fuel2ShrbyTech!L38/'Inputs 7&amp;8 Day'!$X50))</f>
        <v>1</v>
      </c>
      <c r="M37" s="1250">
        <f>IF('Mkt Pen Veh-Mi'!M37=0,1,1/((1-Fuel2ShrbyTech!M38)/'Inputs 7&amp;8 Day'!$S50+Fuel2ShrbyTech!M38/'Inputs 7&amp;8 Day'!$Y50))</f>
        <v>1</v>
      </c>
      <c r="N37" s="1248">
        <f>IF('Mkt Pen Veh-Mi'!N37=0,1,1/((1-Fuel2ShrbyTech!N38)/'Inputs 7&amp;8 SU'!$N50+Fuel2ShrbyTech!N38/'Inputs 7&amp;8 SU'!$T50))</f>
        <v>7.8761901346494616</v>
      </c>
      <c r="O37" s="1249">
        <f>IF('Mkt Pen Veh-Mi'!O37=0,1,1/((1-Fuel2ShrbyTech!O38)/'Inputs 7&amp;8 SU'!$O50+Fuel2ShrbyTech!O38/'Inputs 7&amp;8 SU'!$U50))</f>
        <v>7.9559370738746589</v>
      </c>
      <c r="P37" s="1249">
        <f>IF('Mkt Pen Veh-Mi'!P37=0,1,1/((1-Fuel2ShrbyTech!P38)/'Inputs 7&amp;8 SU'!$P50+Fuel2ShrbyTech!P38/'Inputs 7&amp;8 SU'!$V50))</f>
        <v>12.095688548288747</v>
      </c>
      <c r="Q37" s="1249">
        <f>IF('Mkt Pen Veh-Mi'!Q37=0,1,1/((1-Fuel2ShrbyTech!Q38)/'Inputs 7&amp;8 SU'!$Q50+Fuel2ShrbyTech!Q38/'Inputs 7&amp;8 SU'!$W50))</f>
        <v>1</v>
      </c>
      <c r="R37" s="1249">
        <f>IF('Mkt Pen Veh-Mi'!R37=0,1,1/((1-Fuel2ShrbyTech!R38)/'Inputs 7&amp;8 SU'!$R50+Fuel2ShrbyTech!R38/'Inputs 7&amp;8 SU'!$X50))</f>
        <v>18.928327638073828</v>
      </c>
      <c r="S37" s="1250">
        <f>IF('Mkt Pen Veh-Mi'!S37=0,1,1/((1-Fuel2ShrbyTech!S38)/'Inputs 7&amp;8 SU'!$S50+Fuel2ShrbyTech!S38/'Inputs 7&amp;8 SU'!$Y50))</f>
        <v>1</v>
      </c>
      <c r="U37" s="1197">
        <f t="shared" si="13"/>
        <v>2035</v>
      </c>
      <c r="V37" s="1248">
        <f t="shared" si="14"/>
        <v>8.0685847555815613</v>
      </c>
      <c r="W37" s="1249">
        <f t="shared" si="15"/>
        <v>8.8636735516732301</v>
      </c>
      <c r="X37" s="1249">
        <f t="shared" si="16"/>
        <v>9.5542122172332906</v>
      </c>
      <c r="Y37" s="1249">
        <f t="shared" si="17"/>
        <v>0</v>
      </c>
      <c r="Z37" s="1249">
        <f t="shared" si="18"/>
        <v>0</v>
      </c>
      <c r="AA37" s="1250">
        <f t="shared" si="19"/>
        <v>0</v>
      </c>
      <c r="AB37" s="1248">
        <f t="shared" si="20"/>
        <v>7.3351272149996589</v>
      </c>
      <c r="AC37" s="1249">
        <f t="shared" si="21"/>
        <v>9.8112798247637976</v>
      </c>
      <c r="AD37" s="1249">
        <f t="shared" si="22"/>
        <v>10.533332552016905</v>
      </c>
      <c r="AE37" s="1249">
        <f t="shared" si="23"/>
        <v>0</v>
      </c>
      <c r="AF37" s="1249">
        <f t="shared" si="24"/>
        <v>0</v>
      </c>
      <c r="AG37" s="1250">
        <f t="shared" si="25"/>
        <v>0</v>
      </c>
      <c r="AH37" s="1248">
        <f t="shared" si="26"/>
        <v>7.8761901346494616</v>
      </c>
      <c r="AI37" s="1249">
        <f t="shared" si="27"/>
        <v>7.9559370738746589</v>
      </c>
      <c r="AJ37" s="1249">
        <f t="shared" si="28"/>
        <v>12.095688548288747</v>
      </c>
      <c r="AK37" s="1249">
        <f t="shared" si="29"/>
        <v>0</v>
      </c>
      <c r="AL37" s="1249">
        <f t="shared" si="30"/>
        <v>18.928327638073828</v>
      </c>
      <c r="AM37" s="1250">
        <f t="shared" si="31"/>
        <v>0</v>
      </c>
      <c r="AN37" s="1176">
        <v>2035</v>
      </c>
      <c r="AO37" s="1322">
        <f t="array" ref="AO37">1/SUMPRODUCT(IFERROR(1/V37:AA37,0),'Mkt Pen Veh-Mi'!B37:G37)</f>
        <v>9.1203793552238057</v>
      </c>
      <c r="AP37" s="1323">
        <f t="array" ref="AP37">1/SUMPRODUCT(IFERROR(1/AB37:AG37,0),'Mkt Pen Veh-Mi'!H37:M37)</f>
        <v>9.3137729277649601</v>
      </c>
      <c r="AQ37" s="1327">
        <f t="array" ref="AQ37">1/SUMPRODUCT(IFERROR(1/AH37:AM37,0),'Mkt Pen Veh-Mi'!N37:S37)</f>
        <v>10.372827811784246</v>
      </c>
      <c r="AR37" s="1320">
        <v>2035</v>
      </c>
      <c r="AS37" s="1328">
        <f t="shared" si="32"/>
        <v>1.130356764104715</v>
      </c>
      <c r="AT37" s="1329">
        <f t="shared" si="33"/>
        <v>1.2697493383235607</v>
      </c>
      <c r="AU37" s="1329">
        <f t="shared" si="34"/>
        <v>1.3169854503830996</v>
      </c>
      <c r="AV37" s="1330">
        <v>1.733471734567664</v>
      </c>
    </row>
    <row r="38" spans="1:48" s="1176" customFormat="1" ht="15" x14ac:dyDescent="0.25">
      <c r="A38" s="1191">
        <v>2036</v>
      </c>
      <c r="B38" s="1251">
        <f>IF('Mkt Pen Veh-Mi'!B38=0,1,1/((1-Fuel2ShrbyTech!B39)/'Inputs 7&amp;8 Sleep'!$N51+Fuel2ShrbyTech!B39/'Inputs 7&amp;8 Sleep'!$T51))</f>
        <v>8.0827348383128879</v>
      </c>
      <c r="C38" s="1252">
        <f>IF('Mkt Pen Veh-Mi'!C38=0,1,1/((1-Fuel2ShrbyTech!C39)/'Inputs 7&amp;8 Sleep'!$O51+Fuel2ShrbyTech!C39/'Inputs 7&amp;8 Sleep'!$U51))</f>
        <v>8.943638792492921</v>
      </c>
      <c r="D38" s="1252">
        <f>IF('Mkt Pen Veh-Mi'!D38=0,1,1/((1-Fuel2ShrbyTech!D39)/'Inputs 7&amp;8 Sleep'!$P51+Fuel2ShrbyTech!D39/'Inputs 7&amp;8 Sleep'!$V51))</f>
        <v>9.6888543211359899</v>
      </c>
      <c r="E38" s="1252">
        <f>IF('Mkt Pen Veh-Mi'!E38=0,1,1/((1-Fuel2ShrbyTech!E39)/'Inputs 7&amp;8 Sleep'!$Q51+Fuel2ShrbyTech!E39/'Inputs 7&amp;8 Sleep'!$W51))</f>
        <v>1</v>
      </c>
      <c r="F38" s="1252">
        <f>IF('Mkt Pen Veh-Mi'!F38=0,1,1/((1-Fuel2ShrbyTech!F39)/'Inputs 7&amp;8 Sleep'!$R51+Fuel2ShrbyTech!F39/'Inputs 7&amp;8 Sleep'!$X51))</f>
        <v>1</v>
      </c>
      <c r="G38" s="1253">
        <f>IF('Mkt Pen Veh-Mi'!G38=0,1,1/((1-Fuel2ShrbyTech!G39)/'Inputs 7&amp;8 Sleep'!$S51+Fuel2ShrbyTech!G39/'Inputs 7&amp;8 Sleep'!$Y51))</f>
        <v>1</v>
      </c>
      <c r="H38" s="1251">
        <f>IF('Mkt Pen Veh-Mi'!H38=0,1,1/((1-Fuel2ShrbyTech!H39)/'Inputs 7&amp;8 Day'!$N51+Fuel2ShrbyTech!H39/'Inputs 7&amp;8 Day'!$T51))</f>
        <v>7.3355433916329646</v>
      </c>
      <c r="I38" s="1252">
        <f>IF('Mkt Pen Veh-Mi'!I38=0,1,1/((1-Fuel2ShrbyTech!I39)/'Inputs 7&amp;8 Day'!$O51+Fuel2ShrbyTech!I39/'Inputs 7&amp;8 Day'!$U51))</f>
        <v>9.9013871684490748</v>
      </c>
      <c r="J38" s="1252">
        <f>IF('Mkt Pen Veh-Mi'!J38=0,1,1/((1-Fuel2ShrbyTech!J39)/'Inputs 7&amp;8 Day'!$P51+Fuel2ShrbyTech!J39/'Inputs 7&amp;8 Day'!$V51))</f>
        <v>10.6819243189875</v>
      </c>
      <c r="K38" s="1252">
        <f>IF('Mkt Pen Veh-Mi'!K38=0,1,1/((1-Fuel2ShrbyTech!K39)/'Inputs 7&amp;8 Day'!$Q51+Fuel2ShrbyTech!K39/'Inputs 7&amp;8 Day'!$W51))</f>
        <v>1</v>
      </c>
      <c r="L38" s="1252">
        <f>IF('Mkt Pen Veh-Mi'!L38=0,1,1/((1-Fuel2ShrbyTech!L39)/'Inputs 7&amp;8 Day'!$R51+Fuel2ShrbyTech!L39/'Inputs 7&amp;8 Day'!$X51))</f>
        <v>1</v>
      </c>
      <c r="M38" s="1253">
        <f>IF('Mkt Pen Veh-Mi'!M38=0,1,1/((1-Fuel2ShrbyTech!M39)/'Inputs 7&amp;8 Day'!$S51+Fuel2ShrbyTech!M39/'Inputs 7&amp;8 Day'!$Y51))</f>
        <v>1</v>
      </c>
      <c r="N38" s="1251">
        <f>IF('Mkt Pen Veh-Mi'!N38=0,1,1/((1-Fuel2ShrbyTech!N39)/'Inputs 7&amp;8 SU'!$N51+Fuel2ShrbyTech!N39/'Inputs 7&amp;8 SU'!$T51))</f>
        <v>7.8768612391973631</v>
      </c>
      <c r="O38" s="1252">
        <f>IF('Mkt Pen Veh-Mi'!O38=0,1,1/((1-Fuel2ShrbyTech!O39)/'Inputs 7&amp;8 SU'!$O51+Fuel2ShrbyTech!O39/'Inputs 7&amp;8 SU'!$U51))</f>
        <v>7.9993981272727916</v>
      </c>
      <c r="P38" s="1252">
        <f>IF('Mkt Pen Veh-Mi'!P38=0,1,1/((1-Fuel2ShrbyTech!P39)/'Inputs 7&amp;8 SU'!$P51+Fuel2ShrbyTech!P39/'Inputs 7&amp;8 SU'!$V51))</f>
        <v>12.212826057193588</v>
      </c>
      <c r="Q38" s="1252">
        <f>IF('Mkt Pen Veh-Mi'!Q38=0,1,1/((1-Fuel2ShrbyTech!Q39)/'Inputs 7&amp;8 SU'!$Q51+Fuel2ShrbyTech!Q39/'Inputs 7&amp;8 SU'!$W51))</f>
        <v>1</v>
      </c>
      <c r="R38" s="1252">
        <f>IF('Mkt Pen Veh-Mi'!R38=0,1,1/((1-Fuel2ShrbyTech!R39)/'Inputs 7&amp;8 SU'!$R51+Fuel2ShrbyTech!R39/'Inputs 7&amp;8 SU'!$X51))</f>
        <v>19.143733302863581</v>
      </c>
      <c r="S38" s="1253">
        <f>IF('Mkt Pen Veh-Mi'!S38=0,1,1/((1-Fuel2ShrbyTech!S39)/'Inputs 7&amp;8 SU'!$S51+Fuel2ShrbyTech!S39/'Inputs 7&amp;8 SU'!$Y51))</f>
        <v>1</v>
      </c>
      <c r="U38" s="1191">
        <f t="shared" si="13"/>
        <v>2036</v>
      </c>
      <c r="V38" s="1251">
        <f t="shared" si="14"/>
        <v>8.0827348383128879</v>
      </c>
      <c r="W38" s="1252">
        <f t="shared" si="15"/>
        <v>8.943638792492921</v>
      </c>
      <c r="X38" s="1252">
        <f t="shared" si="16"/>
        <v>9.6888543211359899</v>
      </c>
      <c r="Y38" s="1252">
        <f t="shared" si="17"/>
        <v>0</v>
      </c>
      <c r="Z38" s="1252">
        <f t="shared" si="18"/>
        <v>0</v>
      </c>
      <c r="AA38" s="1253">
        <f t="shared" si="19"/>
        <v>0</v>
      </c>
      <c r="AB38" s="1251">
        <f t="shared" si="20"/>
        <v>7.3355433916329646</v>
      </c>
      <c r="AC38" s="1252">
        <f t="shared" si="21"/>
        <v>9.9013871684490748</v>
      </c>
      <c r="AD38" s="1252">
        <f t="shared" si="22"/>
        <v>10.6819243189875</v>
      </c>
      <c r="AE38" s="1252">
        <f t="shared" si="23"/>
        <v>0</v>
      </c>
      <c r="AF38" s="1252">
        <f t="shared" si="24"/>
        <v>0</v>
      </c>
      <c r="AG38" s="1253">
        <f t="shared" si="25"/>
        <v>0</v>
      </c>
      <c r="AH38" s="1251">
        <f t="shared" si="26"/>
        <v>7.8768612391973631</v>
      </c>
      <c r="AI38" s="1252">
        <f t="shared" si="27"/>
        <v>7.9993981272727916</v>
      </c>
      <c r="AJ38" s="1252">
        <f t="shared" si="28"/>
        <v>12.212826057193588</v>
      </c>
      <c r="AK38" s="1252">
        <f t="shared" si="29"/>
        <v>0</v>
      </c>
      <c r="AL38" s="1252">
        <f t="shared" si="30"/>
        <v>19.143733302863581</v>
      </c>
      <c r="AM38" s="1253">
        <f t="shared" si="31"/>
        <v>0</v>
      </c>
      <c r="AN38" s="1176">
        <v>2036</v>
      </c>
      <c r="AO38" s="1322">
        <f t="array" ref="AO38">1/SUMPRODUCT(IFERROR(1/V38:AA38,0),'Mkt Pen Veh-Mi'!B38:G38)</f>
        <v>9.2327417802131162</v>
      </c>
      <c r="AP38" s="1323">
        <f t="array" ref="AP38">1/SUMPRODUCT(IFERROR(1/AB38:AG38,0),'Mkt Pen Veh-Mi'!H38:M38)</f>
        <v>9.4379117896729845</v>
      </c>
      <c r="AQ38" s="1327">
        <f t="array" ref="AQ38">1/SUMPRODUCT(IFERROR(1/AH38:AM38,0),'Mkt Pen Veh-Mi'!N38:S38)</f>
        <v>10.453185755858607</v>
      </c>
      <c r="AR38" s="1320">
        <v>2036</v>
      </c>
      <c r="AS38" s="1322">
        <f t="shared" si="32"/>
        <v>1.1422794344865914</v>
      </c>
      <c r="AT38" s="1323">
        <f t="shared" si="33"/>
        <v>1.2866002265678114</v>
      </c>
      <c r="AU38" s="1323">
        <f t="shared" si="34"/>
        <v>1.3270750161042277</v>
      </c>
      <c r="AV38" s="1327">
        <v>1.9033105938350969</v>
      </c>
    </row>
    <row r="39" spans="1:48" s="1176" customFormat="1" ht="15" x14ac:dyDescent="0.25">
      <c r="A39" s="1191">
        <v>2037</v>
      </c>
      <c r="B39" s="1245">
        <f>IF('Mkt Pen Veh-Mi'!B39=0,1,1/((1-Fuel2ShrbyTech!B40)/'Inputs 7&amp;8 Sleep'!$N52+Fuel2ShrbyTech!B40/'Inputs 7&amp;8 Sleep'!$T52))</f>
        <v>8.0946677445201622</v>
      </c>
      <c r="C39" s="1246">
        <f>IF('Mkt Pen Veh-Mi'!C39=0,1,1/((1-Fuel2ShrbyTech!C40)/'Inputs 7&amp;8 Sleep'!$O52+Fuel2ShrbyTech!C40/'Inputs 7&amp;8 Sleep'!$U52))</f>
        <v>8.992396940980127</v>
      </c>
      <c r="D39" s="1246">
        <f>IF('Mkt Pen Veh-Mi'!D39=0,1,1/((1-Fuel2ShrbyTech!D40)/'Inputs 7&amp;8 Sleep'!$P52+Fuel2ShrbyTech!D40/'Inputs 7&amp;8 Sleep'!$V52))</f>
        <v>9.7709512375889833</v>
      </c>
      <c r="E39" s="1246">
        <f>IF('Mkt Pen Veh-Mi'!E39=0,1,1/((1-Fuel2ShrbyTech!E40)/'Inputs 7&amp;8 Sleep'!$Q52+Fuel2ShrbyTech!E40/'Inputs 7&amp;8 Sleep'!$W52))</f>
        <v>1</v>
      </c>
      <c r="F39" s="1246">
        <f>IF('Mkt Pen Veh-Mi'!F39=0,1,1/((1-Fuel2ShrbyTech!F40)/'Inputs 7&amp;8 Sleep'!$R52+Fuel2ShrbyTech!F40/'Inputs 7&amp;8 Sleep'!$X52))</f>
        <v>1</v>
      </c>
      <c r="G39" s="1247">
        <f>IF('Mkt Pen Veh-Mi'!G39=0,1,1/((1-Fuel2ShrbyTech!G40)/'Inputs 7&amp;8 Sleep'!$S52+Fuel2ShrbyTech!G40/'Inputs 7&amp;8 Sleep'!$Y52))</f>
        <v>1</v>
      </c>
      <c r="H39" s="1245">
        <f>IF('Mkt Pen Veh-Mi'!H39=0,1,1/((1-Fuel2ShrbyTech!H40)/'Inputs 7&amp;8 Day'!$N52+Fuel2ShrbyTech!H40/'Inputs 7&amp;8 Day'!$T52))</f>
        <v>7.3359595682662686</v>
      </c>
      <c r="I39" s="1246">
        <f>IF('Mkt Pen Veh-Mi'!I39=0,1,1/((1-Fuel2ShrbyTech!I40)/'Inputs 7&amp;8 Day'!$O52+Fuel2ShrbyTech!I40/'Inputs 7&amp;8 Day'!$U52))</f>
        <v>9.9563293808173317</v>
      </c>
      <c r="J39" s="1246">
        <f>IF('Mkt Pen Veh-Mi'!J39=0,1,1/((1-Fuel2ShrbyTech!J40)/'Inputs 7&amp;8 Day'!$P52+Fuel2ShrbyTech!J40/'Inputs 7&amp;8 Day'!$V52))</f>
        <v>10.772526927866835</v>
      </c>
      <c r="K39" s="1246">
        <f>IF('Mkt Pen Veh-Mi'!K39=0,1,1/((1-Fuel2ShrbyTech!K40)/'Inputs 7&amp;8 Day'!$Q52+Fuel2ShrbyTech!K40/'Inputs 7&amp;8 Day'!$W52))</f>
        <v>1</v>
      </c>
      <c r="L39" s="1246">
        <f>IF('Mkt Pen Veh-Mi'!L39=0,1,1/((1-Fuel2ShrbyTech!L40)/'Inputs 7&amp;8 Day'!$R52+Fuel2ShrbyTech!L40/'Inputs 7&amp;8 Day'!$X52))</f>
        <v>1</v>
      </c>
      <c r="M39" s="1247">
        <f>IF('Mkt Pen Veh-Mi'!M39=0,1,1/((1-Fuel2ShrbyTech!M40)/'Inputs 7&amp;8 Day'!$S52+Fuel2ShrbyTech!M40/'Inputs 7&amp;8 Day'!$Y52))</f>
        <v>1</v>
      </c>
      <c r="N39" s="1245">
        <f>IF('Mkt Pen Veh-Mi'!N39=0,1,1/((1-Fuel2ShrbyTech!N40)/'Inputs 7&amp;8 SU'!$N52+Fuel2ShrbyTech!N40/'Inputs 7&amp;8 SU'!$T52))</f>
        <v>7.8780700934087857</v>
      </c>
      <c r="O39" s="1246">
        <f>IF('Mkt Pen Veh-Mi'!O39=0,1,1/((1-Fuel2ShrbyTech!O40)/'Inputs 7&amp;8 SU'!$O52+Fuel2ShrbyTech!O40/'Inputs 7&amp;8 SU'!$U52))</f>
        <v>8.0264056110376814</v>
      </c>
      <c r="P39" s="1246">
        <f>IF('Mkt Pen Veh-Mi'!P39=0,1,1/((1-Fuel2ShrbyTech!P40)/'Inputs 7&amp;8 SU'!$P52+Fuel2ShrbyTech!P40/'Inputs 7&amp;8 SU'!$V52))</f>
        <v>12.285617421476143</v>
      </c>
      <c r="Q39" s="1246">
        <f>IF('Mkt Pen Veh-Mi'!Q39=0,1,1/((1-Fuel2ShrbyTech!Q40)/'Inputs 7&amp;8 SU'!$Q52+Fuel2ShrbyTech!Q40/'Inputs 7&amp;8 SU'!$W52))</f>
        <v>1</v>
      </c>
      <c r="R39" s="1246">
        <f>IF('Mkt Pen Veh-Mi'!R39=0,1,1/((1-Fuel2ShrbyTech!R40)/'Inputs 7&amp;8 SU'!$R52+Fuel2ShrbyTech!R40/'Inputs 7&amp;8 SU'!$X52))</f>
        <v>19.277590274561476</v>
      </c>
      <c r="S39" s="1247">
        <f>IF('Mkt Pen Veh-Mi'!S39=0,1,1/((1-Fuel2ShrbyTech!S40)/'Inputs 7&amp;8 SU'!$S52+Fuel2ShrbyTech!S40/'Inputs 7&amp;8 SU'!$Y52))</f>
        <v>1</v>
      </c>
      <c r="U39" s="1191">
        <f t="shared" si="13"/>
        <v>2037</v>
      </c>
      <c r="V39" s="1245">
        <f t="shared" si="14"/>
        <v>8.0946677445201622</v>
      </c>
      <c r="W39" s="1246">
        <f t="shared" si="15"/>
        <v>8.992396940980127</v>
      </c>
      <c r="X39" s="1246">
        <f t="shared" si="16"/>
        <v>9.7709512375889833</v>
      </c>
      <c r="Y39" s="1246">
        <f t="shared" si="17"/>
        <v>0</v>
      </c>
      <c r="Z39" s="1246">
        <f t="shared" si="18"/>
        <v>0</v>
      </c>
      <c r="AA39" s="1247">
        <f t="shared" si="19"/>
        <v>0</v>
      </c>
      <c r="AB39" s="1245">
        <f t="shared" si="20"/>
        <v>7.3359595682662686</v>
      </c>
      <c r="AC39" s="1246">
        <f t="shared" si="21"/>
        <v>9.9563293808173317</v>
      </c>
      <c r="AD39" s="1246">
        <f t="shared" si="22"/>
        <v>10.772526927866835</v>
      </c>
      <c r="AE39" s="1246">
        <f t="shared" si="23"/>
        <v>0</v>
      </c>
      <c r="AF39" s="1246">
        <f t="shared" si="24"/>
        <v>0</v>
      </c>
      <c r="AG39" s="1247">
        <f t="shared" si="25"/>
        <v>0</v>
      </c>
      <c r="AH39" s="1245">
        <f t="shared" si="26"/>
        <v>7.8780700934087857</v>
      </c>
      <c r="AI39" s="1246">
        <f t="shared" si="27"/>
        <v>8.0264056110376814</v>
      </c>
      <c r="AJ39" s="1246">
        <f t="shared" si="28"/>
        <v>12.285617421476143</v>
      </c>
      <c r="AK39" s="1246">
        <f t="shared" si="29"/>
        <v>0</v>
      </c>
      <c r="AL39" s="1246">
        <f t="shared" si="30"/>
        <v>19.277590274561476</v>
      </c>
      <c r="AM39" s="1247">
        <f t="shared" si="31"/>
        <v>0</v>
      </c>
      <c r="AN39" s="1176">
        <v>2037</v>
      </c>
      <c r="AO39" s="1322">
        <f t="array" ref="AO39">1/SUMPRODUCT(IFERROR(1/V39:AA39,0),'Mkt Pen Veh-Mi'!B39:G39)</f>
        <v>9.2971904168643018</v>
      </c>
      <c r="AP39" s="1323">
        <f t="array" ref="AP39">1/SUMPRODUCT(IFERROR(1/AB39:AG39,0),'Mkt Pen Veh-Mi'!H39:M39)</f>
        <v>9.5150740873906301</v>
      </c>
      <c r="AQ39" s="1327">
        <f t="array" ref="AQ39">1/SUMPRODUCT(IFERROR(1/AH39:AM39,0),'Mkt Pen Veh-Mi'!N39:S39)</f>
        <v>10.524174822623719</v>
      </c>
      <c r="AR39" s="1320">
        <v>2037</v>
      </c>
      <c r="AS39" s="1322">
        <f t="shared" si="32"/>
        <v>1.1485573849721269</v>
      </c>
      <c r="AT39" s="1323">
        <f t="shared" si="33"/>
        <v>1.297045601035034</v>
      </c>
      <c r="AU39" s="1323">
        <f t="shared" si="34"/>
        <v>1.3358823541604188</v>
      </c>
      <c r="AV39" s="1327">
        <v>2.0330617296005014</v>
      </c>
    </row>
    <row r="40" spans="1:48" s="1176" customFormat="1" ht="15" x14ac:dyDescent="0.25">
      <c r="A40" s="1191">
        <v>2038</v>
      </c>
      <c r="B40" s="1245">
        <f>IF('Mkt Pen Veh-Mi'!B40=0,1,1/((1-Fuel2ShrbyTech!B41)/'Inputs 7&amp;8 Sleep'!$N53+Fuel2ShrbyTech!B41/'Inputs 7&amp;8 Sleep'!$T53))</f>
        <v>8.1005862254693923</v>
      </c>
      <c r="C40" s="1246">
        <f>IF('Mkt Pen Veh-Mi'!C40=0,1,1/((1-Fuel2ShrbyTech!C41)/'Inputs 7&amp;8 Sleep'!$O53+Fuel2ShrbyTech!C41/'Inputs 7&amp;8 Sleep'!$U53))</f>
        <v>9.0679403273192083</v>
      </c>
      <c r="D40" s="1246">
        <f>IF('Mkt Pen Veh-Mi'!D40=0,1,1/((1-Fuel2ShrbyTech!D41)/'Inputs 7&amp;8 Sleep'!$P53+Fuel2ShrbyTech!D41/'Inputs 7&amp;8 Sleep'!$V53))</f>
        <v>9.8981480091908214</v>
      </c>
      <c r="E40" s="1246">
        <f>IF('Mkt Pen Veh-Mi'!E40=0,1,1/((1-Fuel2ShrbyTech!E41)/'Inputs 7&amp;8 Sleep'!$Q53+Fuel2ShrbyTech!E41/'Inputs 7&amp;8 Sleep'!$W53))</f>
        <v>1</v>
      </c>
      <c r="F40" s="1246">
        <f>IF('Mkt Pen Veh-Mi'!F40=0,1,1/((1-Fuel2ShrbyTech!F41)/'Inputs 7&amp;8 Sleep'!$R53+Fuel2ShrbyTech!F41/'Inputs 7&amp;8 Sleep'!$X53))</f>
        <v>1</v>
      </c>
      <c r="G40" s="1247">
        <f>IF('Mkt Pen Veh-Mi'!G40=0,1,1/((1-Fuel2ShrbyTech!G41)/'Inputs 7&amp;8 Sleep'!$S53+Fuel2ShrbyTech!G41/'Inputs 7&amp;8 Sleep'!$Y53))</f>
        <v>1</v>
      </c>
      <c r="H40" s="1245">
        <f>IF('Mkt Pen Veh-Mi'!H40=0,1,1/((1-Fuel2ShrbyTech!H41)/'Inputs 7&amp;8 Day'!$N53+Fuel2ShrbyTech!H41/'Inputs 7&amp;8 Day'!$T53))</f>
        <v>7.3363757448995743</v>
      </c>
      <c r="I40" s="1246">
        <f>IF('Mkt Pen Veh-Mi'!I40=0,1,1/((1-Fuel2ShrbyTech!I41)/'Inputs 7&amp;8 Day'!$O53+Fuel2ShrbyTech!I41/'Inputs 7&amp;8 Day'!$U53))</f>
        <v>10.041454040059637</v>
      </c>
      <c r="J40" s="1246">
        <f>IF('Mkt Pen Veh-Mi'!J40=0,1,1/((1-Fuel2ShrbyTech!J41)/'Inputs 7&amp;8 Day'!$P53+Fuel2ShrbyTech!J41/'Inputs 7&amp;8 Day'!$V53))</f>
        <v>10.912901985129238</v>
      </c>
      <c r="K40" s="1246">
        <f>IF('Mkt Pen Veh-Mi'!K40=0,1,1/((1-Fuel2ShrbyTech!K41)/'Inputs 7&amp;8 Day'!$Q53+Fuel2ShrbyTech!K41/'Inputs 7&amp;8 Day'!$W53))</f>
        <v>1</v>
      </c>
      <c r="L40" s="1246">
        <f>IF('Mkt Pen Veh-Mi'!L40=0,1,1/((1-Fuel2ShrbyTech!L41)/'Inputs 7&amp;8 Day'!$R53+Fuel2ShrbyTech!L41/'Inputs 7&amp;8 Day'!$X53))</f>
        <v>1</v>
      </c>
      <c r="M40" s="1247">
        <f>IF('Mkt Pen Veh-Mi'!M40=0,1,1/((1-Fuel2ShrbyTech!M41)/'Inputs 7&amp;8 Day'!$S53+Fuel2ShrbyTech!M41/'Inputs 7&amp;8 Day'!$Y53))</f>
        <v>1</v>
      </c>
      <c r="N40" s="1245">
        <f>IF('Mkt Pen Veh-Mi'!N40=0,1,1/((1-Fuel2ShrbyTech!N41)/'Inputs 7&amp;8 SU'!$N53+Fuel2ShrbyTech!N41/'Inputs 7&amp;8 SU'!$T53))</f>
        <v>7.8790193478605959</v>
      </c>
      <c r="O40" s="1246">
        <f>IF('Mkt Pen Veh-Mi'!O40=0,1,1/((1-Fuel2ShrbyTech!O41)/'Inputs 7&amp;8 SU'!$O53+Fuel2ShrbyTech!O41/'Inputs 7&amp;8 SU'!$U53))</f>
        <v>8.0690321909205434</v>
      </c>
      <c r="P40" s="1246">
        <f>IF('Mkt Pen Veh-Mi'!P40=0,1,1/((1-Fuel2ShrbyTech!P41)/'Inputs 7&amp;8 SU'!$P53+Fuel2ShrbyTech!P41/'Inputs 7&amp;8 SU'!$V53))</f>
        <v>12.4005058328285</v>
      </c>
      <c r="Q40" s="1246">
        <f>IF('Mkt Pen Veh-Mi'!Q40=0,1,1/((1-Fuel2ShrbyTech!Q41)/'Inputs 7&amp;8 SU'!$Q53+Fuel2ShrbyTech!Q41/'Inputs 7&amp;8 SU'!$W53))</f>
        <v>1</v>
      </c>
      <c r="R40" s="1246">
        <f>IF('Mkt Pen Veh-Mi'!R40=0,1,1/((1-Fuel2ShrbyTech!R41)/'Inputs 7&amp;8 SU'!$R53+Fuel2ShrbyTech!R41/'Inputs 7&amp;8 SU'!$X53))</f>
        <v>19.488860045067671</v>
      </c>
      <c r="S40" s="1247">
        <f>IF('Mkt Pen Veh-Mi'!S40=0,1,1/((1-Fuel2ShrbyTech!S41)/'Inputs 7&amp;8 SU'!$S53+Fuel2ShrbyTech!S41/'Inputs 7&amp;8 SU'!$Y53))</f>
        <v>1</v>
      </c>
      <c r="U40" s="1191">
        <f t="shared" si="13"/>
        <v>2038</v>
      </c>
      <c r="V40" s="1245">
        <f t="shared" si="14"/>
        <v>8.1005862254693923</v>
      </c>
      <c r="W40" s="1246">
        <f t="shared" si="15"/>
        <v>9.0679403273192083</v>
      </c>
      <c r="X40" s="1246">
        <f t="shared" si="16"/>
        <v>9.8981480091908214</v>
      </c>
      <c r="Y40" s="1246">
        <f t="shared" si="17"/>
        <v>0</v>
      </c>
      <c r="Z40" s="1246">
        <f t="shared" si="18"/>
        <v>0</v>
      </c>
      <c r="AA40" s="1247">
        <f t="shared" si="19"/>
        <v>0</v>
      </c>
      <c r="AB40" s="1245">
        <f t="shared" si="20"/>
        <v>7.3363757448995743</v>
      </c>
      <c r="AC40" s="1246">
        <f t="shared" si="21"/>
        <v>10.041454040059637</v>
      </c>
      <c r="AD40" s="1246">
        <f t="shared" si="22"/>
        <v>10.912901985129238</v>
      </c>
      <c r="AE40" s="1246">
        <f t="shared" si="23"/>
        <v>0</v>
      </c>
      <c r="AF40" s="1246">
        <f t="shared" si="24"/>
        <v>0</v>
      </c>
      <c r="AG40" s="1247">
        <f t="shared" si="25"/>
        <v>0</v>
      </c>
      <c r="AH40" s="1245">
        <f t="shared" si="26"/>
        <v>7.8790193478605959</v>
      </c>
      <c r="AI40" s="1246">
        <f t="shared" si="27"/>
        <v>8.0690321909205434</v>
      </c>
      <c r="AJ40" s="1246">
        <f t="shared" si="28"/>
        <v>12.4005058328285</v>
      </c>
      <c r="AK40" s="1246">
        <f t="shared" si="29"/>
        <v>0</v>
      </c>
      <c r="AL40" s="1246">
        <f t="shared" si="30"/>
        <v>19.488860045067671</v>
      </c>
      <c r="AM40" s="1247">
        <f t="shared" si="31"/>
        <v>0</v>
      </c>
      <c r="AN40" s="1176">
        <v>2038</v>
      </c>
      <c r="AO40" s="1322">
        <f t="array" ref="AO40">1/SUMPRODUCT(IFERROR(1/V40:AA40,0),'Mkt Pen Veh-Mi'!B40:G40)</f>
        <v>9.3959443363653303</v>
      </c>
      <c r="AP40" s="1323">
        <f t="array" ref="AP40">1/SUMPRODUCT(IFERROR(1/AB40:AG40,0),'Mkt Pen Veh-Mi'!H40:M40)</f>
        <v>9.6278493144652053</v>
      </c>
      <c r="AQ40" s="1327">
        <f t="array" ref="AQ40">1/SUMPRODUCT(IFERROR(1/AH40:AM40,0),'Mkt Pen Veh-Mi'!N40:S40)</f>
        <v>10.538641655382756</v>
      </c>
      <c r="AR40" s="1320">
        <v>2038</v>
      </c>
      <c r="AS40" s="1322">
        <f t="shared" si="32"/>
        <v>1.1599091812421116</v>
      </c>
      <c r="AT40" s="1323">
        <f t="shared" si="33"/>
        <v>1.3123440850420889</v>
      </c>
      <c r="AU40" s="1323">
        <f t="shared" si="34"/>
        <v>1.3375575296999787</v>
      </c>
      <c r="AV40" s="1327">
        <v>2.0837866625663999</v>
      </c>
    </row>
    <row r="41" spans="1:48" s="1176" customFormat="1" ht="15" x14ac:dyDescent="0.25">
      <c r="A41" s="1191">
        <v>2039</v>
      </c>
      <c r="B41" s="1245">
        <f>IF('Mkt Pen Veh-Mi'!B41=0,1,1/((1-Fuel2ShrbyTech!B42)/'Inputs 7&amp;8 Sleep'!$N54+Fuel2ShrbyTech!B42/'Inputs 7&amp;8 Sleep'!$T54))</f>
        <v>8.1041670415640823</v>
      </c>
      <c r="C41" s="1246">
        <f>IF('Mkt Pen Veh-Mi'!C41=0,1,1/((1-Fuel2ShrbyTech!C42)/'Inputs 7&amp;8 Sleep'!$O54+Fuel2ShrbyTech!C42/'Inputs 7&amp;8 Sleep'!$U54))</f>
        <v>9.1808344693286497</v>
      </c>
      <c r="D41" s="1246">
        <f>IF('Mkt Pen Veh-Mi'!D41=0,1,1/((1-Fuel2ShrbyTech!D42)/'Inputs 7&amp;8 Sleep'!$P54+Fuel2ShrbyTech!D42/'Inputs 7&amp;8 Sleep'!$V54))</f>
        <v>10.088234409764738</v>
      </c>
      <c r="E41" s="1246">
        <f>IF('Mkt Pen Veh-Mi'!E41=0,1,1/((1-Fuel2ShrbyTech!E42)/'Inputs 7&amp;8 Sleep'!$Q54+Fuel2ShrbyTech!E42/'Inputs 7&amp;8 Sleep'!$W54))</f>
        <v>1</v>
      </c>
      <c r="F41" s="1246">
        <f>IF('Mkt Pen Veh-Mi'!F41=0,1,1/((1-Fuel2ShrbyTech!F42)/'Inputs 7&amp;8 Sleep'!$R54+Fuel2ShrbyTech!F42/'Inputs 7&amp;8 Sleep'!$X54))</f>
        <v>1</v>
      </c>
      <c r="G41" s="1247">
        <f>IF('Mkt Pen Veh-Mi'!G41=0,1,1/((1-Fuel2ShrbyTech!G42)/'Inputs 7&amp;8 Sleep'!$S54+Fuel2ShrbyTech!G42/'Inputs 7&amp;8 Sleep'!$Y54))</f>
        <v>1</v>
      </c>
      <c r="H41" s="1245">
        <f>IF('Mkt Pen Veh-Mi'!H41=0,1,1/((1-Fuel2ShrbyTech!H42)/'Inputs 7&amp;8 Day'!$N54+Fuel2ShrbyTech!H42/'Inputs 7&amp;8 Day'!$T54))</f>
        <v>7.3367919215328783</v>
      </c>
      <c r="I41" s="1246">
        <f>IF('Mkt Pen Veh-Mi'!I41=0,1,1/((1-Fuel2ShrbyTech!I42)/'Inputs 7&amp;8 Day'!$O54+Fuel2ShrbyTech!I42/'Inputs 7&amp;8 Day'!$U54))</f>
        <v>10.16866670333463</v>
      </c>
      <c r="J41" s="1246">
        <f>IF('Mkt Pen Veh-Mi'!J41=0,1,1/((1-Fuel2ShrbyTech!J42)/'Inputs 7&amp;8 Day'!$P54+Fuel2ShrbyTech!J42/'Inputs 7&amp;8 Day'!$V54))</f>
        <v>11.12268238308536</v>
      </c>
      <c r="K41" s="1246">
        <f>IF('Mkt Pen Veh-Mi'!K41=0,1,1/((1-Fuel2ShrbyTech!K42)/'Inputs 7&amp;8 Day'!$Q54+Fuel2ShrbyTech!K42/'Inputs 7&amp;8 Day'!$W54))</f>
        <v>1</v>
      </c>
      <c r="L41" s="1246">
        <f>IF('Mkt Pen Veh-Mi'!L41=0,1,1/((1-Fuel2ShrbyTech!L42)/'Inputs 7&amp;8 Day'!$R54+Fuel2ShrbyTech!L42/'Inputs 7&amp;8 Day'!$X54))</f>
        <v>12.995014250790609</v>
      </c>
      <c r="M41" s="1247">
        <f>IF('Mkt Pen Veh-Mi'!M41=0,1,1/((1-Fuel2ShrbyTech!M42)/'Inputs 7&amp;8 Day'!$S54+Fuel2ShrbyTech!M42/'Inputs 7&amp;8 Day'!$Y54))</f>
        <v>1</v>
      </c>
      <c r="N41" s="1245">
        <f>IF('Mkt Pen Veh-Mi'!N41=0,1,1/((1-Fuel2ShrbyTech!N42)/'Inputs 7&amp;8 SU'!$N54+Fuel2ShrbyTech!N42/'Inputs 7&amp;8 SU'!$T54))</f>
        <v>7.8800990704038272</v>
      </c>
      <c r="O41" s="1246">
        <f>IF('Mkt Pen Veh-Mi'!O41=0,1,1/((1-Fuel2ShrbyTech!O42)/'Inputs 7&amp;8 SU'!$O54+Fuel2ShrbyTech!O42/'Inputs 7&amp;8 SU'!$U54))</f>
        <v>8.1345718079586096</v>
      </c>
      <c r="P41" s="1246">
        <f>IF('Mkt Pen Veh-Mi'!P41=0,1,1/((1-Fuel2ShrbyTech!P42)/'Inputs 7&amp;8 SU'!$P54+Fuel2ShrbyTech!P42/'Inputs 7&amp;8 SU'!$V54))</f>
        <v>12.577150135581316</v>
      </c>
      <c r="Q41" s="1246">
        <f>IF('Mkt Pen Veh-Mi'!Q41=0,1,1/((1-Fuel2ShrbyTech!Q42)/'Inputs 7&amp;8 SU'!$Q54+Fuel2ShrbyTech!Q42/'Inputs 7&amp;8 SU'!$W54))</f>
        <v>1</v>
      </c>
      <c r="R41" s="1246">
        <f>IF('Mkt Pen Veh-Mi'!R41=0,1,1/((1-Fuel2ShrbyTech!R42)/'Inputs 7&amp;8 SU'!$R54+Fuel2ShrbyTech!R42/'Inputs 7&amp;8 SU'!$X54))</f>
        <v>19.813693514906142</v>
      </c>
      <c r="S41" s="1247">
        <f>IF('Mkt Pen Veh-Mi'!S41=0,1,1/((1-Fuel2ShrbyTech!S42)/'Inputs 7&amp;8 SU'!$S54+Fuel2ShrbyTech!S42/'Inputs 7&amp;8 SU'!$Y54))</f>
        <v>1</v>
      </c>
      <c r="U41" s="1191">
        <f t="shared" si="13"/>
        <v>2039</v>
      </c>
      <c r="V41" s="1245">
        <f t="shared" si="14"/>
        <v>8.1041670415640823</v>
      </c>
      <c r="W41" s="1246">
        <f t="shared" si="15"/>
        <v>9.1808344693286497</v>
      </c>
      <c r="X41" s="1246">
        <f t="shared" si="16"/>
        <v>10.088234409764738</v>
      </c>
      <c r="Y41" s="1246">
        <f t="shared" si="17"/>
        <v>0</v>
      </c>
      <c r="Z41" s="1246">
        <f t="shared" si="18"/>
        <v>0</v>
      </c>
      <c r="AA41" s="1247">
        <f t="shared" si="19"/>
        <v>0</v>
      </c>
      <c r="AB41" s="1245">
        <f t="shared" si="20"/>
        <v>7.3367919215328783</v>
      </c>
      <c r="AC41" s="1246">
        <f t="shared" si="21"/>
        <v>10.16866670333463</v>
      </c>
      <c r="AD41" s="1246">
        <f t="shared" si="22"/>
        <v>11.12268238308536</v>
      </c>
      <c r="AE41" s="1246">
        <f t="shared" si="23"/>
        <v>0</v>
      </c>
      <c r="AF41" s="1246">
        <f t="shared" si="24"/>
        <v>12.995014250790609</v>
      </c>
      <c r="AG41" s="1247">
        <f t="shared" si="25"/>
        <v>0</v>
      </c>
      <c r="AH41" s="1245">
        <f t="shared" si="26"/>
        <v>7.8800990704038272</v>
      </c>
      <c r="AI41" s="1246">
        <f t="shared" si="27"/>
        <v>8.1345718079586096</v>
      </c>
      <c r="AJ41" s="1246">
        <f t="shared" si="28"/>
        <v>12.577150135581316</v>
      </c>
      <c r="AK41" s="1246">
        <f t="shared" si="29"/>
        <v>0</v>
      </c>
      <c r="AL41" s="1246">
        <f t="shared" si="30"/>
        <v>19.813693514906142</v>
      </c>
      <c r="AM41" s="1247">
        <f t="shared" si="31"/>
        <v>0</v>
      </c>
      <c r="AN41" s="1176">
        <v>2039</v>
      </c>
      <c r="AO41" s="1322">
        <f t="array" ref="AO41">1/SUMPRODUCT(IFERROR(1/V41:AA41,0),'Mkt Pen Veh-Mi'!B41:G41)</f>
        <v>9.5467414064961513</v>
      </c>
      <c r="AP41" s="1323">
        <f t="array" ref="AP41">1/SUMPRODUCT(IFERROR(1/AB41:AG41,0),'Mkt Pen Veh-Mi'!H41:M41)</f>
        <v>9.7837686119101903</v>
      </c>
      <c r="AQ41" s="1327">
        <f t="array" ref="AQ41">1/SUMPRODUCT(IFERROR(1/AH41:AM41,0),'Mkt Pen Veh-Mi'!N41:S41)</f>
        <v>10.602466556887109</v>
      </c>
      <c r="AR41" s="1320">
        <v>2039</v>
      </c>
      <c r="AS41" s="1322">
        <f t="shared" si="32"/>
        <v>1.178004026512965</v>
      </c>
      <c r="AT41" s="1323">
        <f t="shared" si="33"/>
        <v>1.3335213423724936</v>
      </c>
      <c r="AU41" s="1323">
        <f t="shared" si="34"/>
        <v>1.3454737639921284</v>
      </c>
      <c r="AV41" s="1327">
        <v>2.111395266587011</v>
      </c>
    </row>
    <row r="42" spans="1:48" s="1176" customFormat="1" ht="15" x14ac:dyDescent="0.25">
      <c r="A42" s="1197">
        <v>2040</v>
      </c>
      <c r="B42" s="1248">
        <f>IF('Mkt Pen Veh-Mi'!B42=0,1,1/((1-Fuel2ShrbyTech!B43)/'Inputs 7&amp;8 Sleep'!$N55+Fuel2ShrbyTech!B43/'Inputs 7&amp;8 Sleep'!$T55))</f>
        <v>8.1043325932001693</v>
      </c>
      <c r="C42" s="1249">
        <f>IF('Mkt Pen Veh-Mi'!C42=0,1,1/((1-Fuel2ShrbyTech!C43)/'Inputs 7&amp;8 Sleep'!$O55+Fuel2ShrbyTech!C43/'Inputs 7&amp;8 Sleep'!$U55))</f>
        <v>9.3407631645188953</v>
      </c>
      <c r="D42" s="1249">
        <f>IF('Mkt Pen Veh-Mi'!D42=0,1,1/((1-Fuel2ShrbyTech!D43)/'Inputs 7&amp;8 Sleep'!$P55+Fuel2ShrbyTech!D43/'Inputs 7&amp;8 Sleep'!$V55))</f>
        <v>10.357515609622332</v>
      </c>
      <c r="E42" s="1249">
        <f>IF('Mkt Pen Veh-Mi'!E42=0,1,1/((1-Fuel2ShrbyTech!E43)/'Inputs 7&amp;8 Sleep'!$Q55+Fuel2ShrbyTech!E43/'Inputs 7&amp;8 Sleep'!$W55))</f>
        <v>1</v>
      </c>
      <c r="F42" s="1249">
        <f>IF('Mkt Pen Veh-Mi'!F42=0,1,1/((1-Fuel2ShrbyTech!F43)/'Inputs 7&amp;8 Sleep'!$R55+Fuel2ShrbyTech!F43/'Inputs 7&amp;8 Sleep'!$X55))</f>
        <v>1</v>
      </c>
      <c r="G42" s="1250">
        <f>IF('Mkt Pen Veh-Mi'!G42=0,1,1/((1-Fuel2ShrbyTech!G43)/'Inputs 7&amp;8 Sleep'!$S55+Fuel2ShrbyTech!G43/'Inputs 7&amp;8 Sleep'!$Y55))</f>
        <v>1</v>
      </c>
      <c r="H42" s="1254">
        <f>IF('Mkt Pen Veh-Mi'!H42=0,1,1/((1-Fuel2ShrbyTech!H43)/'Inputs 7&amp;8 Day'!$N55+Fuel2ShrbyTech!H43/'Inputs 7&amp;8 Day'!$T55))</f>
        <v>7.3372080981661831</v>
      </c>
      <c r="I42" s="1255">
        <f>IF('Mkt Pen Veh-Mi'!I42=0,1,1/((1-Fuel2ShrbyTech!I43)/'Inputs 7&amp;8 Day'!$O55+Fuel2ShrbyTech!I43/'Inputs 7&amp;8 Day'!$U55))</f>
        <v>10.348879377678212</v>
      </c>
      <c r="J42" s="1255">
        <f>IF('Mkt Pen Veh-Mi'!J42=0,1,1/((1-Fuel2ShrbyTech!J43)/'Inputs 7&amp;8 Day'!$P55+Fuel2ShrbyTech!J43/'Inputs 7&amp;8 Day'!$V55))</f>
        <v>11.419862597438796</v>
      </c>
      <c r="K42" s="1255">
        <f>IF('Mkt Pen Veh-Mi'!K42=0,1,1/((1-Fuel2ShrbyTech!K43)/'Inputs 7&amp;8 Day'!$Q55+Fuel2ShrbyTech!K43/'Inputs 7&amp;8 Day'!$W55))</f>
        <v>1</v>
      </c>
      <c r="L42" s="1255">
        <f>IF('Mkt Pen Veh-Mi'!L42=0,1,1/((1-Fuel2ShrbyTech!L43)/'Inputs 7&amp;8 Day'!$R55+Fuel2ShrbyTech!L43/'Inputs 7&amp;8 Day'!$X55))</f>
        <v>13.384139573345184</v>
      </c>
      <c r="M42" s="1256">
        <f>IF('Mkt Pen Veh-Mi'!M42=0,1,1/((1-Fuel2ShrbyTech!M43)/'Inputs 7&amp;8 Day'!$S55+Fuel2ShrbyTech!M43/'Inputs 7&amp;8 Day'!$Y55))</f>
        <v>1</v>
      </c>
      <c r="N42" s="1245">
        <f>IF('Mkt Pen Veh-Mi'!N42=0,1,1/((1-Fuel2ShrbyTech!N43)/'Inputs 7&amp;8 SU'!$N55+Fuel2ShrbyTech!N43/'Inputs 7&amp;8 SU'!$T55))</f>
        <v>7.8815296451121526</v>
      </c>
      <c r="O42" s="1255">
        <f>IF('Mkt Pen Veh-Mi'!O42=0,1,1/((1-Fuel2ShrbyTech!O43)/'Inputs 7&amp;8 SU'!$O55+Fuel2ShrbyTech!O43/'Inputs 7&amp;8 SU'!$U55))</f>
        <v>8.2313911089035603</v>
      </c>
      <c r="P42" s="1255">
        <f>IF('Mkt Pen Veh-Mi'!P42=0,1,1/((1-Fuel2ShrbyTech!P43)/'Inputs 7&amp;8 SU'!$P55+Fuel2ShrbyTech!P43/'Inputs 7&amp;8 SU'!$V55))</f>
        <v>12.838100362045148</v>
      </c>
      <c r="Q42" s="1255">
        <f>IF('Mkt Pen Veh-Mi'!Q42=0,1,1/((1-Fuel2ShrbyTech!Q43)/'Inputs 7&amp;8 SU'!$Q55+Fuel2ShrbyTech!Q43/'Inputs 7&amp;8 SU'!$W55))</f>
        <v>1</v>
      </c>
      <c r="R42" s="1255">
        <f>IF('Mkt Pen Veh-Mi'!R42=0,1,1/((1-Fuel2ShrbyTech!R43)/'Inputs 7&amp;8 SU'!$R55+Fuel2ShrbyTech!R43/'Inputs 7&amp;8 SU'!$X55))</f>
        <v>20.293558227191788</v>
      </c>
      <c r="S42" s="1256">
        <f>IF('Mkt Pen Veh-Mi'!S42=0,1,1/((1-Fuel2ShrbyTech!S43)/'Inputs 7&amp;8 SU'!$S55+Fuel2ShrbyTech!S43/'Inputs 7&amp;8 SU'!$Y55))</f>
        <v>1</v>
      </c>
      <c r="U42" s="1197">
        <f t="shared" si="13"/>
        <v>2040</v>
      </c>
      <c r="V42" s="1248">
        <f t="shared" si="14"/>
        <v>8.1043325932001693</v>
      </c>
      <c r="W42" s="1249">
        <f t="shared" si="15"/>
        <v>9.3407631645188953</v>
      </c>
      <c r="X42" s="1249">
        <f t="shared" si="16"/>
        <v>10.357515609622332</v>
      </c>
      <c r="Y42" s="1249">
        <f t="shared" si="17"/>
        <v>0</v>
      </c>
      <c r="Z42" s="1249">
        <f t="shared" si="18"/>
        <v>0</v>
      </c>
      <c r="AA42" s="1250">
        <f t="shared" si="19"/>
        <v>0</v>
      </c>
      <c r="AB42" s="1254">
        <f t="shared" si="20"/>
        <v>7.3372080981661831</v>
      </c>
      <c r="AC42" s="1255">
        <f t="shared" si="21"/>
        <v>10.348879377678212</v>
      </c>
      <c r="AD42" s="1255">
        <f t="shared" si="22"/>
        <v>11.419862597438796</v>
      </c>
      <c r="AE42" s="1255">
        <f t="shared" si="23"/>
        <v>0</v>
      </c>
      <c r="AF42" s="1255">
        <f t="shared" si="24"/>
        <v>13.384139573345184</v>
      </c>
      <c r="AG42" s="1256">
        <f t="shared" si="25"/>
        <v>0</v>
      </c>
      <c r="AH42" s="1245">
        <f t="shared" si="26"/>
        <v>7.8815296451121526</v>
      </c>
      <c r="AI42" s="1255">
        <f t="shared" si="27"/>
        <v>8.2313911089035603</v>
      </c>
      <c r="AJ42" s="1255">
        <f t="shared" si="28"/>
        <v>12.838100362045148</v>
      </c>
      <c r="AK42" s="1255">
        <f t="shared" si="29"/>
        <v>0</v>
      </c>
      <c r="AL42" s="1255">
        <f t="shared" si="30"/>
        <v>20.293558227191788</v>
      </c>
      <c r="AM42" s="1256">
        <f t="shared" si="31"/>
        <v>0</v>
      </c>
      <c r="AN42" s="1176">
        <v>2040</v>
      </c>
      <c r="AO42" s="1322">
        <f t="array" ref="AO42">1/SUMPRODUCT(IFERROR(1/V42:AA42,0),'Mkt Pen Veh-Mi'!B42:G42)</f>
        <v>9.7532468496547722</v>
      </c>
      <c r="AP42" s="1323">
        <f t="array" ref="AP42">1/SUMPRODUCT(IFERROR(1/AB42:AG42,0),'Mkt Pen Veh-Mi'!H42:M42)</f>
        <v>9.995940511940594</v>
      </c>
      <c r="AQ42" s="1327">
        <f t="array" ref="AQ42">1/SUMPRODUCT(IFERROR(1/AH42:AM42,0),'Mkt Pen Veh-Mi'!N42:S42)</f>
        <v>10.603471986013227</v>
      </c>
      <c r="AR42" s="1320">
        <v>2040</v>
      </c>
      <c r="AS42" s="1322">
        <f t="shared" si="32"/>
        <v>1.2034608325228535</v>
      </c>
      <c r="AT42" s="1323">
        <f t="shared" si="33"/>
        <v>1.3623629558004384</v>
      </c>
      <c r="AU42" s="1323">
        <f t="shared" si="34"/>
        <v>1.345357115111421</v>
      </c>
      <c r="AV42" s="1327">
        <v>2.1489389429026087</v>
      </c>
    </row>
    <row r="43" spans="1:48" s="1176" customFormat="1" ht="15" x14ac:dyDescent="0.25">
      <c r="A43" s="1191">
        <v>2041</v>
      </c>
      <c r="B43" s="1251">
        <f>IF('Mkt Pen Veh-Mi'!B43=0,1,1/((1-Fuel2ShrbyTech!B44)/'Inputs 7&amp;8 Sleep'!$N56+Fuel2ShrbyTech!B44/'Inputs 7&amp;8 Sleep'!$T56))</f>
        <v>8.1043630004564644</v>
      </c>
      <c r="C43" s="1252">
        <f>IF('Mkt Pen Veh-Mi'!C43=0,1,1/((1-Fuel2ShrbyTech!C44)/'Inputs 7&amp;8 Sleep'!$O56+Fuel2ShrbyTech!C44/'Inputs 7&amp;8 Sleep'!$U56))</f>
        <v>9.5509677357290315</v>
      </c>
      <c r="D43" s="1252">
        <f>IF('Mkt Pen Veh-Mi'!D43=0,1,1/((1-Fuel2ShrbyTech!D44)/'Inputs 7&amp;8 Sleep'!$P56+Fuel2ShrbyTech!D44/'Inputs 7&amp;8 Sleep'!$V56))</f>
        <v>10.711449211617168</v>
      </c>
      <c r="E43" s="1252">
        <f>IF('Mkt Pen Veh-Mi'!E43=0,1,1/((1-Fuel2ShrbyTech!E44)/'Inputs 7&amp;8 Sleep'!$Q56+Fuel2ShrbyTech!E44/'Inputs 7&amp;8 Sleep'!$W56))</f>
        <v>1</v>
      </c>
      <c r="F43" s="1252">
        <f>IF('Mkt Pen Veh-Mi'!F43=0,1,1/((1-Fuel2ShrbyTech!F44)/'Inputs 7&amp;8 Sleep'!$R56+Fuel2ShrbyTech!F44/'Inputs 7&amp;8 Sleep'!$X56))</f>
        <v>1</v>
      </c>
      <c r="G43" s="1253">
        <f>IF('Mkt Pen Veh-Mi'!G43=0,1,1/((1-Fuel2ShrbyTech!G44)/'Inputs 7&amp;8 Sleep'!$S56+Fuel2ShrbyTech!G44/'Inputs 7&amp;8 Sleep'!$Y56))</f>
        <v>1</v>
      </c>
      <c r="H43" s="1251">
        <f>IF('Mkt Pen Veh-Mi'!H43=0,1,1/((1-Fuel2ShrbyTech!H44)/'Inputs 7&amp;8 Day'!$N56+Fuel2ShrbyTech!H44/'Inputs 7&amp;8 Day'!$T56))</f>
        <v>7.337624274799488</v>
      </c>
      <c r="I43" s="1252">
        <f>IF('Mkt Pen Veh-Mi'!I43=0,1,1/((1-Fuel2ShrbyTech!I44)/'Inputs 7&amp;8 Day'!$O56+Fuel2ShrbyTech!I44/'Inputs 7&amp;8 Day'!$U56))</f>
        <v>10.585744487419539</v>
      </c>
      <c r="J43" s="1252">
        <f>IF('Mkt Pen Veh-Mi'!J43=0,1,1/((1-Fuel2ShrbyTech!J44)/'Inputs 7&amp;8 Day'!$P56+Fuel2ShrbyTech!J44/'Inputs 7&amp;8 Day'!$V56))</f>
        <v>11.810465668738725</v>
      </c>
      <c r="K43" s="1252">
        <f>IF('Mkt Pen Veh-Mi'!K43=0,1,1/((1-Fuel2ShrbyTech!K44)/'Inputs 7&amp;8 Day'!$Q56+Fuel2ShrbyTech!K44/'Inputs 7&amp;8 Day'!$W56))</f>
        <v>1</v>
      </c>
      <c r="L43" s="1252">
        <f>IF('Mkt Pen Veh-Mi'!L43=0,1,1/((1-Fuel2ShrbyTech!L44)/'Inputs 7&amp;8 Day'!$R56+Fuel2ShrbyTech!L44/'Inputs 7&amp;8 Day'!$X56))</f>
        <v>13.895592014555239</v>
      </c>
      <c r="M43" s="1253">
        <f>IF('Mkt Pen Veh-Mi'!M43=0,1,1/((1-Fuel2ShrbyTech!M44)/'Inputs 7&amp;8 Day'!$S56+Fuel2ShrbyTech!M44/'Inputs 7&amp;8 Day'!$Y56))</f>
        <v>1</v>
      </c>
      <c r="N43" s="1251">
        <f>IF('Mkt Pen Veh-Mi'!N43=0,1,1/((1-Fuel2ShrbyTech!N44)/'Inputs 7&amp;8 SU'!$N56+Fuel2ShrbyTech!N44/'Inputs 7&amp;8 SU'!$T56))</f>
        <v>7.8832558955587544</v>
      </c>
      <c r="O43" s="1252">
        <f>IF('Mkt Pen Veh-Mi'!O43=0,1,1/((1-Fuel2ShrbyTech!O44)/'Inputs 7&amp;8 SU'!$O56+Fuel2ShrbyTech!O44/'Inputs 7&amp;8 SU'!$U56))</f>
        <v>8.3662890508367997</v>
      </c>
      <c r="P43" s="1252">
        <f>IF('Mkt Pen Veh-Mi'!P43=0,1,1/((1-Fuel2ShrbyTech!P44)/'Inputs 7&amp;8 SU'!$P56+Fuel2ShrbyTech!P44/'Inputs 7&amp;8 SU'!$V56))</f>
        <v>13.20168126124001</v>
      </c>
      <c r="Q43" s="1252">
        <f>IF('Mkt Pen Veh-Mi'!Q43=0,1,1/((1-Fuel2ShrbyTech!Q44)/'Inputs 7&amp;8 SU'!$Q56+Fuel2ShrbyTech!Q44/'Inputs 7&amp;8 SU'!$W56))</f>
        <v>1</v>
      </c>
      <c r="R43" s="1252">
        <f>IF('Mkt Pen Veh-Mi'!R43=0,1,1/((1-Fuel2ShrbyTech!R44)/'Inputs 7&amp;8 SU'!$R56+Fuel2ShrbyTech!R44/'Inputs 7&amp;8 SU'!$X56))</f>
        <v>20.96215179750196</v>
      </c>
      <c r="S43" s="1253">
        <f>IF('Mkt Pen Veh-Mi'!S43=0,1,1/((1-Fuel2ShrbyTech!S44)/'Inputs 7&amp;8 SU'!$S56+Fuel2ShrbyTech!S44/'Inputs 7&amp;8 SU'!$Y56))</f>
        <v>1</v>
      </c>
      <c r="U43" s="1191">
        <f t="shared" si="13"/>
        <v>2041</v>
      </c>
      <c r="V43" s="1251">
        <f t="shared" si="14"/>
        <v>8.1043630004564644</v>
      </c>
      <c r="W43" s="1252">
        <f t="shared" si="15"/>
        <v>9.5509677357290315</v>
      </c>
      <c r="X43" s="1252">
        <f t="shared" si="16"/>
        <v>10.711449211617168</v>
      </c>
      <c r="Y43" s="1252">
        <f t="shared" si="17"/>
        <v>0</v>
      </c>
      <c r="Z43" s="1252">
        <f t="shared" si="18"/>
        <v>0</v>
      </c>
      <c r="AA43" s="1253">
        <f t="shared" si="19"/>
        <v>0</v>
      </c>
      <c r="AB43" s="1251">
        <f t="shared" si="20"/>
        <v>7.337624274799488</v>
      </c>
      <c r="AC43" s="1252">
        <f t="shared" si="21"/>
        <v>10.585744487419539</v>
      </c>
      <c r="AD43" s="1252">
        <f t="shared" si="22"/>
        <v>11.810465668738725</v>
      </c>
      <c r="AE43" s="1252">
        <f t="shared" si="23"/>
        <v>0</v>
      </c>
      <c r="AF43" s="1252">
        <f t="shared" si="24"/>
        <v>13.895592014555239</v>
      </c>
      <c r="AG43" s="1253">
        <f t="shared" si="25"/>
        <v>0</v>
      </c>
      <c r="AH43" s="1251">
        <f t="shared" si="26"/>
        <v>7.8832558955587544</v>
      </c>
      <c r="AI43" s="1252">
        <f t="shared" si="27"/>
        <v>8.3662890508367997</v>
      </c>
      <c r="AJ43" s="1252">
        <f t="shared" si="28"/>
        <v>13.20168126124001</v>
      </c>
      <c r="AK43" s="1252">
        <f t="shared" si="29"/>
        <v>0</v>
      </c>
      <c r="AL43" s="1252">
        <f t="shared" si="30"/>
        <v>20.96215179750196</v>
      </c>
      <c r="AM43" s="1253">
        <f t="shared" si="31"/>
        <v>0</v>
      </c>
      <c r="AN43" s="1176">
        <v>2041</v>
      </c>
      <c r="AO43" s="1322">
        <f t="array" ref="AO43">1/SUMPRODUCT(IFERROR(1/V43:AA43,0),'Mkt Pen Veh-Mi'!B43:G43)</f>
        <v>10.024792518038609</v>
      </c>
      <c r="AP43" s="1323">
        <f t="array" ref="AP43">1/SUMPRODUCT(IFERROR(1/AB43:AG43,0),'Mkt Pen Veh-Mi'!H43:M43)</f>
        <v>10.324160488563344</v>
      </c>
      <c r="AQ43" s="1327">
        <f t="array" ref="AQ43">1/SUMPRODUCT(IFERROR(1/AH43:AM43,0),'Mkt Pen Veh-Mi'!N43:S43)</f>
        <v>10.597980301453338</v>
      </c>
      <c r="AR43" s="1320">
        <v>2041</v>
      </c>
      <c r="AS43" s="1322">
        <f t="shared" si="32"/>
        <v>1.2369624259764747</v>
      </c>
      <c r="AT43" s="1323">
        <f t="shared" si="33"/>
        <v>1.4070167811700154</v>
      </c>
      <c r="AU43" s="1323">
        <f t="shared" si="34"/>
        <v>1.34436588661596</v>
      </c>
      <c r="AV43" s="1327">
        <v>2.1717496436120078</v>
      </c>
    </row>
    <row r="44" spans="1:48" s="1176" customFormat="1" ht="15" x14ac:dyDescent="0.25">
      <c r="A44" s="1191">
        <v>2042</v>
      </c>
      <c r="B44" s="1245">
        <f>IF('Mkt Pen Veh-Mi'!B44=0,1,1/((1-Fuel2ShrbyTech!B45)/'Inputs 7&amp;8 Sleep'!$N57+Fuel2ShrbyTech!B45/'Inputs 7&amp;8 Sleep'!$T57))</f>
        <v>8.1043847804208973</v>
      </c>
      <c r="C44" s="1246">
        <f>IF('Mkt Pen Veh-Mi'!C44=0,1,1/((1-Fuel2ShrbyTech!C45)/'Inputs 7&amp;8 Sleep'!$O57+Fuel2ShrbyTech!C45/'Inputs 7&amp;8 Sleep'!$U57))</f>
        <v>9.8016210751410089</v>
      </c>
      <c r="D44" s="1246">
        <f>IF('Mkt Pen Veh-Mi'!D44=0,1,1/((1-Fuel2ShrbyTech!D45)/'Inputs 7&amp;8 Sleep'!$P57+Fuel2ShrbyTech!D45/'Inputs 7&amp;8 Sleep'!$V57))</f>
        <v>11.133488745578724</v>
      </c>
      <c r="E44" s="1246">
        <f>IF('Mkt Pen Veh-Mi'!E44=0,1,1/((1-Fuel2ShrbyTech!E45)/'Inputs 7&amp;8 Sleep'!$Q57+Fuel2ShrbyTech!E45/'Inputs 7&amp;8 Sleep'!$W57))</f>
        <v>1</v>
      </c>
      <c r="F44" s="1246">
        <f>IF('Mkt Pen Veh-Mi'!F44=0,1,1/((1-Fuel2ShrbyTech!F45)/'Inputs 7&amp;8 Sleep'!$R57+Fuel2ShrbyTech!F45/'Inputs 7&amp;8 Sleep'!$X57))</f>
        <v>12.964887473173619</v>
      </c>
      <c r="G44" s="1247">
        <f>IF('Mkt Pen Veh-Mi'!G44=0,1,1/((1-Fuel2ShrbyTech!G45)/'Inputs 7&amp;8 Sleep'!$S57+Fuel2ShrbyTech!G45/'Inputs 7&amp;8 Sleep'!$Y57))</f>
        <v>1</v>
      </c>
      <c r="H44" s="1245">
        <f>IF('Mkt Pen Veh-Mi'!H44=0,1,1/((1-Fuel2ShrbyTech!H45)/'Inputs 7&amp;8 Day'!$N57+Fuel2ShrbyTech!H45/'Inputs 7&amp;8 Day'!$T57))</f>
        <v>7.3380404514327928</v>
      </c>
      <c r="I44" s="1246">
        <f>IF('Mkt Pen Veh-Mi'!I44=0,1,1/((1-Fuel2ShrbyTech!I45)/'Inputs 7&amp;8 Day'!$O57+Fuel2ShrbyTech!I45/'Inputs 7&amp;8 Day'!$U57))</f>
        <v>10.868188538969189</v>
      </c>
      <c r="J44" s="1246">
        <f>IF('Mkt Pen Veh-Mi'!J44=0,1,1/((1-Fuel2ShrbyTech!J45)/'Inputs 7&amp;8 Day'!$P57+Fuel2ShrbyTech!J45/'Inputs 7&amp;8 Day'!$V57))</f>
        <v>12.276230821429088</v>
      </c>
      <c r="K44" s="1246">
        <f>IF('Mkt Pen Veh-Mi'!K44=0,1,1/((1-Fuel2ShrbyTech!K45)/'Inputs 7&amp;8 Day'!$Q57+Fuel2ShrbyTech!K45/'Inputs 7&amp;8 Day'!$W57))</f>
        <v>1</v>
      </c>
      <c r="L44" s="1246">
        <f>IF('Mkt Pen Veh-Mi'!L44=0,1,1/((1-Fuel2ShrbyTech!L45)/'Inputs 7&amp;8 Day'!$R57+Fuel2ShrbyTech!L45/'Inputs 7&amp;8 Day'!$X57))</f>
        <v>14.505461065459716</v>
      </c>
      <c r="M44" s="1247">
        <f>IF('Mkt Pen Veh-Mi'!M44=0,1,1/((1-Fuel2ShrbyTech!M45)/'Inputs 7&amp;8 Day'!$S57+Fuel2ShrbyTech!M45/'Inputs 7&amp;8 Day'!$Y57))</f>
        <v>1</v>
      </c>
      <c r="N44" s="1245">
        <f>IF('Mkt Pen Veh-Mi'!N44=0,1,1/((1-Fuel2ShrbyTech!N45)/'Inputs 7&amp;8 SU'!$N57+Fuel2ShrbyTech!N45/'Inputs 7&amp;8 SU'!$T57))</f>
        <v>7.8853279467657593</v>
      </c>
      <c r="O44" s="1246">
        <f>IF('Mkt Pen Veh-Mi'!O44=0,1,1/((1-Fuel2ShrbyTech!O45)/'Inputs 7&amp;8 SU'!$O57+Fuel2ShrbyTech!O45/'Inputs 7&amp;8 SU'!$U57))</f>
        <v>8.5396823576601122</v>
      </c>
      <c r="P44" s="1246">
        <f>IF('Mkt Pen Veh-Mi'!P44=0,1,1/((1-Fuel2ShrbyTech!P45)/'Inputs 7&amp;8 SU'!$P57+Fuel2ShrbyTech!P45/'Inputs 7&amp;8 SU'!$V57))</f>
        <v>13.669015999677978</v>
      </c>
      <c r="Q44" s="1246">
        <f>IF('Mkt Pen Veh-Mi'!Q44=0,1,1/((1-Fuel2ShrbyTech!Q45)/'Inputs 7&amp;8 SU'!$Q57+Fuel2ShrbyTech!Q45/'Inputs 7&amp;8 SU'!$W57))</f>
        <v>32.726681125506744</v>
      </c>
      <c r="R44" s="1246">
        <f>IF('Mkt Pen Veh-Mi'!R44=0,1,1/((1-Fuel2ShrbyTech!R45)/'Inputs 7&amp;8 SU'!$R57+Fuel2ShrbyTech!R45/'Inputs 7&amp;8 SU'!$X57))</f>
        <v>21.821539631115151</v>
      </c>
      <c r="S44" s="1247">
        <f>IF('Mkt Pen Veh-Mi'!S44=0,1,1/((1-Fuel2ShrbyTech!S45)/'Inputs 7&amp;8 SU'!$S57+Fuel2ShrbyTech!S45/'Inputs 7&amp;8 SU'!$Y57))</f>
        <v>1</v>
      </c>
      <c r="U44" s="1191">
        <f t="shared" si="13"/>
        <v>2042</v>
      </c>
      <c r="V44" s="1245">
        <f t="shared" si="14"/>
        <v>8.1043847804208973</v>
      </c>
      <c r="W44" s="1246">
        <f t="shared" si="15"/>
        <v>9.8016210751410089</v>
      </c>
      <c r="X44" s="1246">
        <f t="shared" si="16"/>
        <v>11.133488745578724</v>
      </c>
      <c r="Y44" s="1246">
        <f t="shared" si="17"/>
        <v>0</v>
      </c>
      <c r="Z44" s="1246">
        <f t="shared" si="18"/>
        <v>12.964887473173619</v>
      </c>
      <c r="AA44" s="1247">
        <f t="shared" si="19"/>
        <v>0</v>
      </c>
      <c r="AB44" s="1245">
        <f t="shared" si="20"/>
        <v>7.3380404514327928</v>
      </c>
      <c r="AC44" s="1246">
        <f t="shared" si="21"/>
        <v>10.868188538969189</v>
      </c>
      <c r="AD44" s="1246">
        <f t="shared" si="22"/>
        <v>12.276230821429088</v>
      </c>
      <c r="AE44" s="1246">
        <f t="shared" si="23"/>
        <v>0</v>
      </c>
      <c r="AF44" s="1246">
        <f t="shared" si="24"/>
        <v>14.505461065459716</v>
      </c>
      <c r="AG44" s="1247">
        <f t="shared" si="25"/>
        <v>0</v>
      </c>
      <c r="AH44" s="1245">
        <f t="shared" si="26"/>
        <v>7.8853279467657593</v>
      </c>
      <c r="AI44" s="1246">
        <f t="shared" si="27"/>
        <v>8.5396823576601122</v>
      </c>
      <c r="AJ44" s="1246">
        <f t="shared" si="28"/>
        <v>13.669015999677978</v>
      </c>
      <c r="AK44" s="1246">
        <f t="shared" si="29"/>
        <v>32.726681125506744</v>
      </c>
      <c r="AL44" s="1246">
        <f t="shared" si="30"/>
        <v>21.821539631115151</v>
      </c>
      <c r="AM44" s="1247">
        <f t="shared" si="31"/>
        <v>0</v>
      </c>
      <c r="AN44" s="1176">
        <v>2042</v>
      </c>
      <c r="AO44" s="1322">
        <f t="array" ref="AO44">1/SUMPRODUCT(IFERROR(1/V44:AA44,0),'Mkt Pen Veh-Mi'!B44:G44)</f>
        <v>10.341890190443987</v>
      </c>
      <c r="AP44" s="1323">
        <f t="array" ref="AP44">1/SUMPRODUCT(IFERROR(1/AB44:AG44,0),'Mkt Pen Veh-Mi'!H44:M44)</f>
        <v>10.727512439318936</v>
      </c>
      <c r="AQ44" s="1327">
        <f t="array" ref="AQ44">1/SUMPRODUCT(IFERROR(1/AH44:AM44,0),'Mkt Pen Veh-Mi'!N44:S44)</f>
        <v>10.842463578442686</v>
      </c>
      <c r="AR44" s="1320">
        <v>2042</v>
      </c>
      <c r="AS44" s="1322">
        <f t="shared" si="32"/>
        <v>1.2760857820359914</v>
      </c>
      <c r="AT44" s="1323">
        <f t="shared" si="33"/>
        <v>1.4619042386478436</v>
      </c>
      <c r="AU44" s="1323">
        <f t="shared" si="34"/>
        <v>1.3750174566791256</v>
      </c>
      <c r="AV44" s="1327">
        <v>2.1924471877980629</v>
      </c>
    </row>
    <row r="45" spans="1:48" s="1176" customFormat="1" ht="15" x14ac:dyDescent="0.25">
      <c r="A45" s="1191">
        <v>2043</v>
      </c>
      <c r="B45" s="1245">
        <f>IF('Mkt Pen Veh-Mi'!B45=0,1,1/((1-Fuel2ShrbyTech!B46)/'Inputs 7&amp;8 Sleep'!$N58+Fuel2ShrbyTech!B46/'Inputs 7&amp;8 Sleep'!$T58))</f>
        <v>8.1044016873015927</v>
      </c>
      <c r="C45" s="1246">
        <f>IF('Mkt Pen Veh-Mi'!C45=0,1,1/((1-Fuel2ShrbyTech!C46)/'Inputs 7&amp;8 Sleep'!$O58+Fuel2ShrbyTech!C46/'Inputs 7&amp;8 Sleep'!$U58))</f>
        <v>10.06802201132518</v>
      </c>
      <c r="D45" s="1246">
        <f>IF('Mkt Pen Veh-Mi'!D45=0,1,1/((1-Fuel2ShrbyTech!D46)/'Inputs 7&amp;8 Sleep'!$P58+Fuel2ShrbyTech!D46/'Inputs 7&amp;8 Sleep'!$V58))</f>
        <v>11.582043419607206</v>
      </c>
      <c r="E45" s="1246">
        <f>IF('Mkt Pen Veh-Mi'!E45=0,1,1/((1-Fuel2ShrbyTech!E46)/'Inputs 7&amp;8 Sleep'!$Q58+Fuel2ShrbyTech!E46/'Inputs 7&amp;8 Sleep'!$W58))</f>
        <v>1</v>
      </c>
      <c r="F45" s="1246">
        <f>IF('Mkt Pen Veh-Mi'!F45=0,1,1/((1-Fuel2ShrbyTech!F46)/'Inputs 7&amp;8 Sleep'!$R58+Fuel2ShrbyTech!F46/'Inputs 7&amp;8 Sleep'!$X58))</f>
        <v>13.562644650221909</v>
      </c>
      <c r="G45" s="1247">
        <f>IF('Mkt Pen Veh-Mi'!G45=0,1,1/((1-Fuel2ShrbyTech!G46)/'Inputs 7&amp;8 Sleep'!$S58+Fuel2ShrbyTech!G46/'Inputs 7&amp;8 Sleep'!$Y58))</f>
        <v>1</v>
      </c>
      <c r="H45" s="1245">
        <f>IF('Mkt Pen Veh-Mi'!H45=0,1,1/((1-Fuel2ShrbyTech!H46)/'Inputs 7&amp;8 Day'!$N58+Fuel2ShrbyTech!H46/'Inputs 7&amp;8 Day'!$T58))</f>
        <v>7.3384566280660994</v>
      </c>
      <c r="I45" s="1246">
        <f>IF('Mkt Pen Veh-Mi'!I45=0,1,1/((1-Fuel2ShrbyTech!I46)/'Inputs 7&amp;8 Day'!$O58+Fuel2ShrbyTech!I46/'Inputs 7&amp;8 Day'!$U58))</f>
        <v>11.168377476922283</v>
      </c>
      <c r="J45" s="1246">
        <f>IF('Mkt Pen Veh-Mi'!J45=0,1,1/((1-Fuel2ShrbyTech!J46)/'Inputs 7&amp;8 Day'!$P58+Fuel2ShrbyTech!J46/'Inputs 7&amp;8 Day'!$V58))</f>
        <v>12.771258228643234</v>
      </c>
      <c r="K45" s="1246">
        <f>IF('Mkt Pen Veh-Mi'!K45=0,1,1/((1-Fuel2ShrbyTech!K46)/'Inputs 7&amp;8 Day'!$Q58+Fuel2ShrbyTech!K46/'Inputs 7&amp;8 Day'!$W58))</f>
        <v>1</v>
      </c>
      <c r="L45" s="1246">
        <f>IF('Mkt Pen Veh-Mi'!L45=0,1,1/((1-Fuel2ShrbyTech!L46)/'Inputs 7&amp;8 Day'!$R58+Fuel2ShrbyTech!L46/'Inputs 7&amp;8 Day'!$X58))</f>
        <v>15.15364587118324</v>
      </c>
      <c r="M45" s="1247">
        <f>IF('Mkt Pen Veh-Mi'!M45=0,1,1/((1-Fuel2ShrbyTech!M46)/'Inputs 7&amp;8 Day'!$S58+Fuel2ShrbyTech!M46/'Inputs 7&amp;8 Day'!$Y58))</f>
        <v>1</v>
      </c>
      <c r="N45" s="1245">
        <f>IF('Mkt Pen Veh-Mi'!N45=0,1,1/((1-Fuel2ShrbyTech!N46)/'Inputs 7&amp;8 SU'!$N58+Fuel2ShrbyTech!N46/'Inputs 7&amp;8 SU'!$T58))</f>
        <v>7.8877646562024593</v>
      </c>
      <c r="O45" s="1246">
        <f>IF('Mkt Pen Veh-Mi'!O45=0,1,1/((1-Fuel2ShrbyTech!O46)/'Inputs 7&amp;8 SU'!$O58+Fuel2ShrbyTech!O46/'Inputs 7&amp;8 SU'!$U58))</f>
        <v>8.7408449634219512</v>
      </c>
      <c r="P45" s="1246">
        <f>IF('Mkt Pen Veh-Mi'!P45=0,1,1/((1-Fuel2ShrbyTech!P46)/'Inputs 7&amp;8 SU'!$P58+Fuel2ShrbyTech!P46/'Inputs 7&amp;8 SU'!$V58))</f>
        <v>14.211195369052399</v>
      </c>
      <c r="Q45" s="1246">
        <f>IF('Mkt Pen Veh-Mi'!Q45=0,1,1/((1-Fuel2ShrbyTech!Q46)/'Inputs 7&amp;8 SU'!$Q58+Fuel2ShrbyTech!Q46/'Inputs 7&amp;8 SU'!$W58))</f>
        <v>33.994105025124</v>
      </c>
      <c r="R45" s="1246">
        <f>IF('Mkt Pen Veh-Mi'!R45=0,1,1/((1-Fuel2ShrbyTech!R46)/'Inputs 7&amp;8 SU'!$R58+Fuel2ShrbyTech!R46/'Inputs 7&amp;8 SU'!$X58))</f>
        <v>22.818560214763242</v>
      </c>
      <c r="S45" s="1247">
        <f>IF('Mkt Pen Veh-Mi'!S45=0,1,1/((1-Fuel2ShrbyTech!S46)/'Inputs 7&amp;8 SU'!$S58+Fuel2ShrbyTech!S46/'Inputs 7&amp;8 SU'!$Y58))</f>
        <v>1</v>
      </c>
      <c r="U45" s="1191">
        <f t="shared" si="13"/>
        <v>2043</v>
      </c>
      <c r="V45" s="1245">
        <f t="shared" si="14"/>
        <v>8.1044016873015927</v>
      </c>
      <c r="W45" s="1246">
        <f t="shared" si="15"/>
        <v>10.06802201132518</v>
      </c>
      <c r="X45" s="1246">
        <f t="shared" si="16"/>
        <v>11.582043419607206</v>
      </c>
      <c r="Y45" s="1246">
        <f t="shared" si="17"/>
        <v>0</v>
      </c>
      <c r="Z45" s="1246">
        <f t="shared" si="18"/>
        <v>13.562644650221909</v>
      </c>
      <c r="AA45" s="1247">
        <f t="shared" si="19"/>
        <v>0</v>
      </c>
      <c r="AB45" s="1245">
        <f t="shared" si="20"/>
        <v>7.3384566280660994</v>
      </c>
      <c r="AC45" s="1246">
        <f t="shared" si="21"/>
        <v>11.168377476922283</v>
      </c>
      <c r="AD45" s="1246">
        <f t="shared" si="22"/>
        <v>12.771258228643234</v>
      </c>
      <c r="AE45" s="1246">
        <f t="shared" si="23"/>
        <v>0</v>
      </c>
      <c r="AF45" s="1246">
        <f t="shared" si="24"/>
        <v>15.15364587118324</v>
      </c>
      <c r="AG45" s="1247">
        <f t="shared" si="25"/>
        <v>0</v>
      </c>
      <c r="AH45" s="1245">
        <f t="shared" si="26"/>
        <v>7.8877646562024593</v>
      </c>
      <c r="AI45" s="1246">
        <f t="shared" si="27"/>
        <v>8.7408449634219512</v>
      </c>
      <c r="AJ45" s="1246">
        <f t="shared" si="28"/>
        <v>14.211195369052399</v>
      </c>
      <c r="AK45" s="1246">
        <f t="shared" si="29"/>
        <v>33.994105025124</v>
      </c>
      <c r="AL45" s="1246">
        <f t="shared" si="30"/>
        <v>22.818560214763242</v>
      </c>
      <c r="AM45" s="1247">
        <f t="shared" si="31"/>
        <v>0</v>
      </c>
      <c r="AN45" s="1176">
        <v>2043</v>
      </c>
      <c r="AO45" s="1322">
        <f t="array" ref="AO45">1/SUMPRODUCT(IFERROR(1/V45:AA45,0),'Mkt Pen Veh-Mi'!B45:G45)</f>
        <v>10.700879724096502</v>
      </c>
      <c r="AP45" s="1323">
        <f t="array" ref="AP45">1/SUMPRODUCT(IFERROR(1/AB45:AG45,0),'Mkt Pen Veh-Mi'!H45:M45)</f>
        <v>11.194095100286576</v>
      </c>
      <c r="AQ45" s="1327">
        <f t="array" ref="AQ45">1/SUMPRODUCT(IFERROR(1/AH45:AM45,0),'Mkt Pen Veh-Mi'!N45:S45)</f>
        <v>11.217129391118512</v>
      </c>
      <c r="AR45" s="1320">
        <v>2043</v>
      </c>
      <c r="AS45" s="1322">
        <f t="shared" si="32"/>
        <v>1.3203787444128305</v>
      </c>
      <c r="AT45" s="1323">
        <f t="shared" si="33"/>
        <v>1.5254018205237456</v>
      </c>
      <c r="AU45" s="1323">
        <f t="shared" si="34"/>
        <v>1.4220923011816842</v>
      </c>
      <c r="AV45" s="1327">
        <v>2.2174143154278179</v>
      </c>
    </row>
    <row r="46" spans="1:48" s="1176" customFormat="1" ht="15" x14ac:dyDescent="0.25">
      <c r="A46" s="1191">
        <v>2044</v>
      </c>
      <c r="B46" s="1245">
        <f>IF('Mkt Pen Veh-Mi'!B46=0,1,1/((1-Fuel2ShrbyTech!B47)/'Inputs 7&amp;8 Sleep'!$N59+Fuel2ShrbyTech!B47/'Inputs 7&amp;8 Sleep'!$T59))</f>
        <v>8.1044204062362173</v>
      </c>
      <c r="C46" s="1246">
        <f>IF('Mkt Pen Veh-Mi'!C46=0,1,1/((1-Fuel2ShrbyTech!C47)/'Inputs 7&amp;8 Sleep'!$O59+Fuel2ShrbyTech!C47/'Inputs 7&amp;8 Sleep'!$U59))</f>
        <v>10.318675350737157</v>
      </c>
      <c r="D46" s="1246">
        <f>IF('Mkt Pen Veh-Mi'!D46=0,1,1/((1-Fuel2ShrbyTech!D47)/'Inputs 7&amp;8 Sleep'!$P59+Fuel2ShrbyTech!D47/'Inputs 7&amp;8 Sleep'!$V59))</f>
        <v>12.004082953568762</v>
      </c>
      <c r="E46" s="1246">
        <f>IF('Mkt Pen Veh-Mi'!E46=0,1,1/((1-Fuel2ShrbyTech!E47)/'Inputs 7&amp;8 Sleep'!$Q59+Fuel2ShrbyTech!E47/'Inputs 7&amp;8 Sleep'!$W59))</f>
        <v>1</v>
      </c>
      <c r="F46" s="1246">
        <f>IF('Mkt Pen Veh-Mi'!F46=0,1,1/((1-Fuel2ShrbyTech!F47)/'Inputs 7&amp;8 Sleep'!$R59+Fuel2ShrbyTech!F47/'Inputs 7&amp;8 Sleep'!$X59))</f>
        <v>14.125066970243514</v>
      </c>
      <c r="G46" s="1247">
        <f>IF('Mkt Pen Veh-Mi'!G46=0,1,1/((1-Fuel2ShrbyTech!G47)/'Inputs 7&amp;8 Sleep'!$S59+Fuel2ShrbyTech!G47/'Inputs 7&amp;8 Sleep'!$Y59))</f>
        <v>1</v>
      </c>
      <c r="H46" s="1245">
        <f>IF('Mkt Pen Veh-Mi'!H46=0,1,1/((1-Fuel2ShrbyTech!H47)/'Inputs 7&amp;8 Day'!$N59+Fuel2ShrbyTech!H47/'Inputs 7&amp;8 Day'!$T59))</f>
        <v>7.3388728046994043</v>
      </c>
      <c r="I46" s="1246">
        <f>IF('Mkt Pen Veh-Mi'!I46=0,1,1/((1-Fuel2ShrbyTech!I47)/'Inputs 7&amp;8 Day'!$O59+Fuel2ShrbyTech!I47/'Inputs 7&amp;8 Day'!$U59))</f>
        <v>11.450821528471934</v>
      </c>
      <c r="J46" s="1246">
        <f>IF('Mkt Pen Veh-Mi'!J46=0,1,1/((1-Fuel2ShrbyTech!J47)/'Inputs 7&amp;8 Day'!$P59+Fuel2ShrbyTech!J47/'Inputs 7&amp;8 Day'!$V59))</f>
        <v>13.237023381333593</v>
      </c>
      <c r="K46" s="1246">
        <f>IF('Mkt Pen Veh-Mi'!K46=0,1,1/((1-Fuel2ShrbyTech!K47)/'Inputs 7&amp;8 Day'!$Q59+Fuel2ShrbyTech!K47/'Inputs 7&amp;8 Day'!$W59))</f>
        <v>23.818222888793748</v>
      </c>
      <c r="L46" s="1246">
        <f>IF('Mkt Pen Veh-Mi'!L46=0,1,1/((1-Fuel2ShrbyTech!L47)/'Inputs 7&amp;8 Day'!$R59+Fuel2ShrbyTech!L47/'Inputs 7&amp;8 Day'!$X59))</f>
        <v>15.763514922087719</v>
      </c>
      <c r="M46" s="1247">
        <f>IF('Mkt Pen Veh-Mi'!M46=0,1,1/((1-Fuel2ShrbyTech!M47)/'Inputs 7&amp;8 Day'!$S59+Fuel2ShrbyTech!M47/'Inputs 7&amp;8 Day'!$Y59))</f>
        <v>1</v>
      </c>
      <c r="N46" s="1245">
        <f>IF('Mkt Pen Veh-Mi'!N46=0,1,1/((1-Fuel2ShrbyTech!N47)/'Inputs 7&amp;8 SU'!$N59+Fuel2ShrbyTech!N47/'Inputs 7&amp;8 SU'!$T59))</f>
        <v>7.8915292676605526</v>
      </c>
      <c r="O46" s="1246">
        <f>IF('Mkt Pen Veh-Mi'!O46=0,1,1/((1-Fuel2ShrbyTech!O47)/'Inputs 7&amp;8 SU'!$O59+Fuel2ShrbyTech!O47/'Inputs 7&amp;8 SU'!$U59))</f>
        <v>8.9482536087058957</v>
      </c>
      <c r="P46" s="1246">
        <f>IF('Mkt Pen Veh-Mi'!P46=0,1,1/((1-Fuel2ShrbyTech!P47)/'Inputs 7&amp;8 SU'!$P59+Fuel2ShrbyTech!P47/'Inputs 7&amp;8 SU'!$V59))</f>
        <v>14.77020924778485</v>
      </c>
      <c r="Q46" s="1246">
        <f>IF('Mkt Pen Veh-Mi'!Q46=0,1,1/((1-Fuel2ShrbyTech!Q47)/'Inputs 7&amp;8 SU'!$Q59+Fuel2ShrbyTech!Q47/'Inputs 7&amp;8 SU'!$W59))</f>
        <v>35.300882062658161</v>
      </c>
      <c r="R46" s="1246">
        <f>IF('Mkt Pen Veh-Mi'!R46=0,1,1/((1-Fuel2ShrbyTech!R47)/'Inputs 7&amp;8 SU'!$R59+Fuel2ShrbyTech!R47/'Inputs 7&amp;8 SU'!$X59))</f>
        <v>23.846537993195302</v>
      </c>
      <c r="S46" s="1247">
        <f>IF('Mkt Pen Veh-Mi'!S46=0,1,1/((1-Fuel2ShrbyTech!S47)/'Inputs 7&amp;8 SU'!$S59+Fuel2ShrbyTech!S47/'Inputs 7&amp;8 SU'!$Y59))</f>
        <v>1</v>
      </c>
      <c r="U46" s="1191">
        <f t="shared" si="13"/>
        <v>2044</v>
      </c>
      <c r="V46" s="1245">
        <f t="shared" si="14"/>
        <v>8.1044204062362173</v>
      </c>
      <c r="W46" s="1246">
        <f t="shared" si="15"/>
        <v>10.318675350737157</v>
      </c>
      <c r="X46" s="1246">
        <f t="shared" si="16"/>
        <v>12.004082953568762</v>
      </c>
      <c r="Y46" s="1246">
        <f t="shared" si="17"/>
        <v>0</v>
      </c>
      <c r="Z46" s="1246">
        <f t="shared" si="18"/>
        <v>14.125066970243514</v>
      </c>
      <c r="AA46" s="1247">
        <f t="shared" si="19"/>
        <v>0</v>
      </c>
      <c r="AB46" s="1245">
        <f t="shared" si="20"/>
        <v>7.3388728046994043</v>
      </c>
      <c r="AC46" s="1246">
        <f t="shared" si="21"/>
        <v>11.450821528471934</v>
      </c>
      <c r="AD46" s="1246">
        <f t="shared" si="22"/>
        <v>13.237023381333593</v>
      </c>
      <c r="AE46" s="1246">
        <f t="shared" si="23"/>
        <v>23.818222888793748</v>
      </c>
      <c r="AF46" s="1246">
        <f t="shared" si="24"/>
        <v>15.763514922087719</v>
      </c>
      <c r="AG46" s="1247">
        <f t="shared" si="25"/>
        <v>0</v>
      </c>
      <c r="AH46" s="1245">
        <f t="shared" si="26"/>
        <v>7.8915292676605526</v>
      </c>
      <c r="AI46" s="1246">
        <f t="shared" si="27"/>
        <v>8.9482536087058957</v>
      </c>
      <c r="AJ46" s="1246">
        <f t="shared" si="28"/>
        <v>14.77020924778485</v>
      </c>
      <c r="AK46" s="1246">
        <f t="shared" si="29"/>
        <v>35.300882062658161</v>
      </c>
      <c r="AL46" s="1246">
        <f t="shared" si="30"/>
        <v>23.846537993195302</v>
      </c>
      <c r="AM46" s="1247">
        <f t="shared" si="31"/>
        <v>0</v>
      </c>
      <c r="AN46" s="1176">
        <v>2044</v>
      </c>
      <c r="AO46" s="1322">
        <f t="array" ref="AO46">1/SUMPRODUCT(IFERROR(1/V46:AA46,0),'Mkt Pen Veh-Mi'!B46:G46)</f>
        <v>11.106786242296909</v>
      </c>
      <c r="AP46" s="1323">
        <f t="array" ref="AP46">1/SUMPRODUCT(IFERROR(1/AB46:AG46,0),'Mkt Pen Veh-Mi'!H46:M46)</f>
        <v>11.682007470581489</v>
      </c>
      <c r="AQ46" s="1327">
        <f t="array" ref="AQ46">1/SUMPRODUCT(IFERROR(1/AH46:AM46,0),'Mkt Pen Veh-Mi'!N46:S46)</f>
        <v>11.692092120334989</v>
      </c>
      <c r="AR46" s="1320">
        <v>2044</v>
      </c>
      <c r="AS46" s="1322">
        <f t="shared" si="32"/>
        <v>1.3704602779182606</v>
      </c>
      <c r="AT46" s="1323">
        <f t="shared" si="33"/>
        <v>1.5917986019734507</v>
      </c>
      <c r="AU46" s="1323">
        <f t="shared" si="34"/>
        <v>1.481600298721456</v>
      </c>
      <c r="AV46" s="1327">
        <v>2.2420204999328672</v>
      </c>
    </row>
    <row r="47" spans="1:48" s="1176" customFormat="1" ht="15" x14ac:dyDescent="0.25">
      <c r="A47" s="1197">
        <v>2045</v>
      </c>
      <c r="B47" s="1248">
        <f>IF('Mkt Pen Veh-Mi'!B47=0,1,1/((1-Fuel2ShrbyTech!B48)/'Inputs 7&amp;8 Sleep'!$N60+Fuel2ShrbyTech!B48/'Inputs 7&amp;8 Sleep'!$T60))</f>
        <v>8.1044311458601701</v>
      </c>
      <c r="C47" s="1249">
        <f>IF('Mkt Pen Veh-Mi'!C47=0,1,1/((1-Fuel2ShrbyTech!C48)/'Inputs 7&amp;8 Sleep'!$O60+Fuel2ShrbyTech!C48/'Inputs 7&amp;8 Sleep'!$U60))</f>
        <v>10.528879921947295</v>
      </c>
      <c r="D47" s="1249">
        <f>IF('Mkt Pen Veh-Mi'!D47=0,1,1/((1-Fuel2ShrbyTech!D48)/'Inputs 7&amp;8 Sleep'!$P60+Fuel2ShrbyTech!D48/'Inputs 7&amp;8 Sleep'!$V60))</f>
        <v>12.358016555563596</v>
      </c>
      <c r="E47" s="1249">
        <f>IF('Mkt Pen Veh-Mi'!E47=0,1,1/((1-Fuel2ShrbyTech!E48)/'Inputs 7&amp;8 Sleep'!$Q60+Fuel2ShrbyTech!E48/'Inputs 7&amp;8 Sleep'!$W60))</f>
        <v>21.825199821340924</v>
      </c>
      <c r="F47" s="1249">
        <f>IF('Mkt Pen Veh-Mi'!F47=0,1,1/((1-Fuel2ShrbyTech!F48)/'Inputs 7&amp;8 Sleep'!$R60+Fuel2ShrbyTech!F48/'Inputs 7&amp;8 Sleep'!$X60))</f>
        <v>14.59672931831556</v>
      </c>
      <c r="G47" s="1250">
        <f>IF('Mkt Pen Veh-Mi'!G47=0,1,1/((1-Fuel2ShrbyTech!G48)/'Inputs 7&amp;8 Sleep'!$S60+Fuel2ShrbyTech!G48/'Inputs 7&amp;8 Sleep'!$Y60))</f>
        <v>1</v>
      </c>
      <c r="H47" s="1248">
        <f>IF('Mkt Pen Veh-Mi'!H47=0,1,1/((1-Fuel2ShrbyTech!H48)/'Inputs 7&amp;8 Day'!$N60+Fuel2ShrbyTech!H48/'Inputs 7&amp;8 Day'!$T60))</f>
        <v>7.3392889813327082</v>
      </c>
      <c r="I47" s="1249">
        <f>IF('Mkt Pen Veh-Mi'!I47=0,1,1/((1-Fuel2ShrbyTech!I48)/'Inputs 7&amp;8 Day'!$O60+Fuel2ShrbyTech!I48/'Inputs 7&amp;8 Day'!$U60))</f>
        <v>11.687686638213263</v>
      </c>
      <c r="J47" s="1249">
        <f>IF('Mkt Pen Veh-Mi'!J47=0,1,1/((1-Fuel2ShrbyTech!J48)/'Inputs 7&amp;8 Day'!$P60+Fuel2ShrbyTech!J48/'Inputs 7&amp;8 Day'!$V60))</f>
        <v>13.627626452633526</v>
      </c>
      <c r="K47" s="1249">
        <f>IF('Mkt Pen Veh-Mi'!K47=0,1,1/((1-Fuel2ShrbyTech!K48)/'Inputs 7&amp;8 Day'!$Q60+Fuel2ShrbyTech!K48/'Inputs 7&amp;8 Day'!$W60))</f>
        <v>24.516534071675217</v>
      </c>
      <c r="L47" s="1249">
        <f>IF('Mkt Pen Veh-Mi'!L47=0,1,1/((1-Fuel2ShrbyTech!L48)/'Inputs 7&amp;8 Day'!$R60+Fuel2ShrbyTech!L48/'Inputs 7&amp;8 Day'!$X60))</f>
        <v>16.274967363297776</v>
      </c>
      <c r="M47" s="1250">
        <f>IF('Mkt Pen Veh-Mi'!M47=0,1,1/((1-Fuel2ShrbyTech!M48)/'Inputs 7&amp;8 Day'!$S60+Fuel2ShrbyTech!M48/'Inputs 7&amp;8 Day'!$Y60))</f>
        <v>1</v>
      </c>
      <c r="N47" s="1248">
        <f>IF('Mkt Pen Veh-Mi'!N47=0,1,1/((1-Fuel2ShrbyTech!N48)/'Inputs 7&amp;8 SU'!$N60+Fuel2ShrbyTech!N48/'Inputs 7&amp;8 SU'!$T60))</f>
        <v>7.8947420423053876</v>
      </c>
      <c r="O47" s="1249">
        <f>IF('Mkt Pen Veh-Mi'!O47=0,1,1/((1-Fuel2ShrbyTech!O48)/'Inputs 7&amp;8 SU'!$O60+Fuel2ShrbyTech!O48/'Inputs 7&amp;8 SU'!$U60))</f>
        <v>9.1376506261707853</v>
      </c>
      <c r="P47" s="1249">
        <f>IF('Mkt Pen Veh-Mi'!P47=0,1,1/((1-Fuel2ShrbyTech!P48)/'Inputs 7&amp;8 SU'!$P60+Fuel2ShrbyTech!P48/'Inputs 7&amp;8 SU'!$V60))</f>
        <v>15.280677657664587</v>
      </c>
      <c r="Q47" s="1249">
        <f>IF('Mkt Pen Veh-Mi'!Q47=0,1,1/((1-Fuel2ShrbyTech!Q48)/'Inputs 7&amp;8 SU'!$Q60+Fuel2ShrbyTech!Q48/'Inputs 7&amp;8 SU'!$W60))</f>
        <v>36.494176937429401</v>
      </c>
      <c r="R47" s="1249">
        <f>IF('Mkt Pen Veh-Mi'!R47=0,1,1/((1-Fuel2ShrbyTech!R48)/'Inputs 7&amp;8 SU'!$R60+Fuel2ShrbyTech!R48/'Inputs 7&amp;8 SU'!$X60))</f>
        <v>24.785244887445899</v>
      </c>
      <c r="S47" s="1250">
        <f>IF('Mkt Pen Veh-Mi'!S47=0,1,1/((1-Fuel2ShrbyTech!S48)/'Inputs 7&amp;8 SU'!$S60+Fuel2ShrbyTech!S48/'Inputs 7&amp;8 SU'!$Y60))</f>
        <v>1</v>
      </c>
      <c r="U47" s="1197">
        <f t="shared" si="13"/>
        <v>2045</v>
      </c>
      <c r="V47" s="1248">
        <f t="shared" si="14"/>
        <v>8.1044311458601701</v>
      </c>
      <c r="W47" s="1249">
        <f t="shared" si="15"/>
        <v>10.528879921947295</v>
      </c>
      <c r="X47" s="1249">
        <f t="shared" si="16"/>
        <v>12.358016555563596</v>
      </c>
      <c r="Y47" s="1249">
        <f t="shared" si="17"/>
        <v>21.825199821340924</v>
      </c>
      <c r="Z47" s="1249">
        <f t="shared" si="18"/>
        <v>14.59672931831556</v>
      </c>
      <c r="AA47" s="1250">
        <f t="shared" si="19"/>
        <v>0</v>
      </c>
      <c r="AB47" s="1248">
        <f t="shared" si="20"/>
        <v>7.3392889813327082</v>
      </c>
      <c r="AC47" s="1249">
        <f t="shared" si="21"/>
        <v>11.687686638213263</v>
      </c>
      <c r="AD47" s="1249">
        <f t="shared" si="22"/>
        <v>13.627626452633526</v>
      </c>
      <c r="AE47" s="1249">
        <f t="shared" si="23"/>
        <v>24.516534071675217</v>
      </c>
      <c r="AF47" s="1249">
        <f t="shared" si="24"/>
        <v>16.274967363297776</v>
      </c>
      <c r="AG47" s="1250">
        <f t="shared" si="25"/>
        <v>0</v>
      </c>
      <c r="AH47" s="1248">
        <f t="shared" si="26"/>
        <v>7.8947420423053876</v>
      </c>
      <c r="AI47" s="1249">
        <f t="shared" si="27"/>
        <v>9.1376506261707853</v>
      </c>
      <c r="AJ47" s="1249">
        <f t="shared" si="28"/>
        <v>15.280677657664587</v>
      </c>
      <c r="AK47" s="1249">
        <f t="shared" si="29"/>
        <v>36.494176937429401</v>
      </c>
      <c r="AL47" s="1249">
        <f t="shared" si="30"/>
        <v>24.785244887445899</v>
      </c>
      <c r="AM47" s="1250">
        <f t="shared" si="31"/>
        <v>0</v>
      </c>
      <c r="AN47" s="1176">
        <v>2045</v>
      </c>
      <c r="AO47" s="1322">
        <f t="array" ref="AO47">1/SUMPRODUCT(IFERROR(1/V47:AA47,0),'Mkt Pen Veh-Mi'!B47:G47)</f>
        <v>11.592045704855455</v>
      </c>
      <c r="AP47" s="1323">
        <f t="array" ref="AP47">1/SUMPRODUCT(IFERROR(1/AB47:AG47,0),'Mkt Pen Veh-Mi'!H47:M47)</f>
        <v>12.185686212507884</v>
      </c>
      <c r="AQ47" s="1327">
        <f t="array" ref="AQ47">1/SUMPRODUCT(IFERROR(1/AH47:AM47,0),'Mkt Pen Veh-Mi'!N47:S47)</f>
        <v>12.319472027162519</v>
      </c>
      <c r="AR47" s="1320">
        <v>2045</v>
      </c>
      <c r="AS47" s="1322">
        <f t="shared" si="32"/>
        <v>1.430334282101563</v>
      </c>
      <c r="AT47" s="1323">
        <f t="shared" si="33"/>
        <v>1.660336068453206</v>
      </c>
      <c r="AU47" s="1323">
        <f t="shared" si="34"/>
        <v>1.5604654289078002</v>
      </c>
      <c r="AV47" s="1327">
        <v>2.2603379864801605</v>
      </c>
    </row>
    <row r="48" spans="1:48" s="1176" customFormat="1" ht="15" x14ac:dyDescent="0.25">
      <c r="A48" s="1191">
        <v>2046</v>
      </c>
      <c r="B48" s="1251">
        <f>IF('Mkt Pen Veh-Mi'!B48=0,1,1/((1-Fuel2ShrbyTech!B49)/'Inputs 7&amp;8 Sleep'!$N61+Fuel2ShrbyTech!B49/'Inputs 7&amp;8 Sleep'!$T61))</f>
        <v>8.1044333679487188</v>
      </c>
      <c r="C48" s="1252">
        <f>IF('Mkt Pen Veh-Mi'!C48=0,1,1/((1-Fuel2ShrbyTech!C49)/'Inputs 7&amp;8 Sleep'!$O61+Fuel2ShrbyTech!C49/'Inputs 7&amp;8 Sleep'!$U61))</f>
        <v>10.688808617137539</v>
      </c>
      <c r="D48" s="1252">
        <f>IF('Mkt Pen Veh-Mi'!D48=0,1,1/((1-Fuel2ShrbyTech!D49)/'Inputs 7&amp;8 Sleep'!$P61+Fuel2ShrbyTech!D49/'Inputs 7&amp;8 Sleep'!$V61))</f>
        <v>12.627297755421194</v>
      </c>
      <c r="E48" s="1252">
        <f>IF('Mkt Pen Veh-Mi'!E48=0,1,1/((1-Fuel2ShrbyTech!E49)/'Inputs 7&amp;8 Sleep'!$Q61+Fuel2ShrbyTech!E49/'Inputs 7&amp;8 Sleep'!$W61))</f>
        <v>22.319949149889784</v>
      </c>
      <c r="F48" s="1252">
        <f>IF('Mkt Pen Veh-Mi'!F48=0,1,1/((1-Fuel2ShrbyTech!F49)/'Inputs 7&amp;8 Sleep'!$R61+Fuel2ShrbyTech!F49/'Inputs 7&amp;8 Sleep'!$X61))</f>
        <v>14.955581380681611</v>
      </c>
      <c r="G48" s="1253">
        <f>IF('Mkt Pen Veh-Mi'!G48=0,1,1/((1-Fuel2ShrbyTech!G49)/'Inputs 7&amp;8 Sleep'!$S61+Fuel2ShrbyTech!G49/'Inputs 7&amp;8 Sleep'!$Y61))</f>
        <v>1</v>
      </c>
      <c r="H48" s="1251">
        <f>IF('Mkt Pen Veh-Mi'!H48=0,1,1/((1-Fuel2ShrbyTech!H49)/'Inputs 7&amp;8 Day'!$N61+Fuel2ShrbyTech!H49/'Inputs 7&amp;8 Day'!$T61))</f>
        <v>7.3397051579660149</v>
      </c>
      <c r="I48" s="1252">
        <f>IF('Mkt Pen Veh-Mi'!I48=0,1,1/((1-Fuel2ShrbyTech!I49)/'Inputs 7&amp;8 Day'!$O61+Fuel2ShrbyTech!I49/'Inputs 7&amp;8 Day'!$U61))</f>
        <v>11.867899312556846</v>
      </c>
      <c r="J48" s="1252">
        <f>IF('Mkt Pen Veh-Mi'!J48=0,1,1/((1-Fuel2ShrbyTech!J49)/'Inputs 7&amp;8 Day'!$P61+Fuel2ShrbyTech!J49/'Inputs 7&amp;8 Day'!$V61))</f>
        <v>13.924806666986962</v>
      </c>
      <c r="K48" s="1252">
        <f>IF('Mkt Pen Veh-Mi'!K48=0,1,1/((1-Fuel2ShrbyTech!K49)/'Inputs 7&amp;8 Day'!$Q61+Fuel2ShrbyTech!K49/'Inputs 7&amp;8 Day'!$W61))</f>
        <v>25.047826020618352</v>
      </c>
      <c r="L48" s="1252">
        <f>IF('Mkt Pen Veh-Mi'!L48=0,1,1/((1-Fuel2ShrbyTech!L49)/'Inputs 7&amp;8 Day'!$R61+Fuel2ShrbyTech!L49/'Inputs 7&amp;8 Day'!$X61))</f>
        <v>16.664092685852353</v>
      </c>
      <c r="M48" s="1253">
        <f>IF('Mkt Pen Veh-Mi'!M48=0,1,1/((1-Fuel2ShrbyTech!M49)/'Inputs 7&amp;8 Day'!$S61+Fuel2ShrbyTech!M49/'Inputs 7&amp;8 Day'!$Y61))</f>
        <v>1</v>
      </c>
      <c r="N48" s="1251">
        <f>IF('Mkt Pen Veh-Mi'!N48=0,1,1/((1-Fuel2ShrbyTech!N49)/'Inputs 7&amp;8 SU'!$N61+Fuel2ShrbyTech!N49/'Inputs 7&amp;8 SU'!$T61))</f>
        <v>7.8983368628838022</v>
      </c>
      <c r="O48" s="1252">
        <f>IF('Mkt Pen Veh-Mi'!O48=0,1,1/((1-Fuel2ShrbyTech!O49)/'Inputs 7&amp;8 SU'!$O61+Fuel2ShrbyTech!O49/'Inputs 7&amp;8 SU'!$U61))</f>
        <v>9.2923611907323895</v>
      </c>
      <c r="P48" s="1252">
        <f>IF('Mkt Pen Veh-Mi'!P48=0,1,1/((1-Fuel2ShrbyTech!P49)/'Inputs 7&amp;8 SU'!$P61+Fuel2ShrbyTech!P49/'Inputs 7&amp;8 SU'!$V61))</f>
        <v>15.697658119872758</v>
      </c>
      <c r="Q48" s="1252">
        <f>IF('Mkt Pen Veh-Mi'!Q48=0,1,1/((1-Fuel2ShrbyTech!Q49)/'Inputs 7&amp;8 SU'!$Q61+Fuel2ShrbyTech!Q49/'Inputs 7&amp;8 SU'!$W61))</f>
        <v>37.468930005008986</v>
      </c>
      <c r="R48" s="1252">
        <f>IF('Mkt Pen Veh-Mi'!R48=0,1,1/((1-Fuel2ShrbyTech!R49)/'Inputs 7&amp;8 SU'!$R61+Fuel2ShrbyTech!R49/'Inputs 7&amp;8 SU'!$X61))</f>
        <v>25.552035597834465</v>
      </c>
      <c r="S48" s="1253">
        <f>IF('Mkt Pen Veh-Mi'!S48=0,1,1/((1-Fuel2ShrbyTech!S49)/'Inputs 7&amp;8 SU'!$S61+Fuel2ShrbyTech!S49/'Inputs 7&amp;8 SU'!$Y61))</f>
        <v>1</v>
      </c>
      <c r="U48" s="1191">
        <f t="shared" si="13"/>
        <v>2046</v>
      </c>
      <c r="V48" s="1251">
        <f t="shared" si="14"/>
        <v>8.1044333679487188</v>
      </c>
      <c r="W48" s="1252">
        <f t="shared" si="15"/>
        <v>10.688808617137539</v>
      </c>
      <c r="X48" s="1252">
        <f t="shared" si="16"/>
        <v>12.627297755421194</v>
      </c>
      <c r="Y48" s="1252">
        <f t="shared" si="17"/>
        <v>22.319949149889784</v>
      </c>
      <c r="Z48" s="1252">
        <f t="shared" si="18"/>
        <v>14.955581380681611</v>
      </c>
      <c r="AA48" s="1253">
        <f t="shared" si="19"/>
        <v>0</v>
      </c>
      <c r="AB48" s="1251">
        <f t="shared" si="20"/>
        <v>7.3397051579660149</v>
      </c>
      <c r="AC48" s="1252">
        <f t="shared" si="21"/>
        <v>11.867899312556846</v>
      </c>
      <c r="AD48" s="1252">
        <f t="shared" si="22"/>
        <v>13.924806666986962</v>
      </c>
      <c r="AE48" s="1252">
        <f t="shared" si="23"/>
        <v>25.047826020618352</v>
      </c>
      <c r="AF48" s="1252">
        <f t="shared" si="24"/>
        <v>16.664092685852353</v>
      </c>
      <c r="AG48" s="1253">
        <f t="shared" si="25"/>
        <v>0</v>
      </c>
      <c r="AH48" s="1251">
        <f t="shared" si="26"/>
        <v>7.8983368628838022</v>
      </c>
      <c r="AI48" s="1252">
        <f t="shared" si="27"/>
        <v>9.2923611907323895</v>
      </c>
      <c r="AJ48" s="1252">
        <f t="shared" si="28"/>
        <v>15.697658119872758</v>
      </c>
      <c r="AK48" s="1252">
        <f t="shared" si="29"/>
        <v>37.468930005008986</v>
      </c>
      <c r="AL48" s="1252">
        <f t="shared" si="30"/>
        <v>25.552035597834465</v>
      </c>
      <c r="AM48" s="1253">
        <f t="shared" si="31"/>
        <v>0</v>
      </c>
      <c r="AN48" s="1176">
        <v>2046</v>
      </c>
      <c r="AO48" s="1322">
        <f t="array" ref="AO48">1/SUMPRODUCT(IFERROR(1/V48:AA48,0),'Mkt Pen Veh-Mi'!B48:G48)</f>
        <v>12.083749737830255</v>
      </c>
      <c r="AP48" s="1323">
        <f t="array" ref="AP48">1/SUMPRODUCT(IFERROR(1/AB48:AG48,0),'Mkt Pen Veh-Mi'!H48:M48)</f>
        <v>12.582460845506283</v>
      </c>
      <c r="AQ48" s="1327">
        <f t="array" ref="AQ48">1/SUMPRODUCT(IFERROR(1/AH48:AM48,0),'Mkt Pen Veh-Mi'!N48:S48)</f>
        <v>13.031335805047215</v>
      </c>
      <c r="AR48" s="1320">
        <v>2046</v>
      </c>
      <c r="AS48" s="1322">
        <f t="shared" si="32"/>
        <v>1.4910048845140575</v>
      </c>
      <c r="AT48" s="1323">
        <f t="shared" si="33"/>
        <v>1.7143005849288291</v>
      </c>
      <c r="AU48" s="1323">
        <f t="shared" si="34"/>
        <v>1.6498835174129656</v>
      </c>
      <c r="AV48" s="1327">
        <v>2.2751084089886593</v>
      </c>
    </row>
    <row r="49" spans="1:48" s="1176" customFormat="1" ht="15" x14ac:dyDescent="0.25">
      <c r="A49" s="1191">
        <v>2047</v>
      </c>
      <c r="B49" s="1245">
        <f>IF('Mkt Pen Veh-Mi'!B49=0,1,1/((1-Fuel2ShrbyTech!B50)/'Inputs 7&amp;8 Sleep'!$N62+Fuel2ShrbyTech!B50/'Inputs 7&amp;8 Sleep'!$T62))</f>
        <v>8.1044320169487083</v>
      </c>
      <c r="C49" s="1246">
        <f>IF('Mkt Pen Veh-Mi'!C49=0,1,1/((1-Fuel2ShrbyTech!C50)/'Inputs 7&amp;8 Sleep'!$O62+Fuel2ShrbyTech!C50/'Inputs 7&amp;8 Sleep'!$U62))</f>
        <v>10.801702759146982</v>
      </c>
      <c r="D49" s="1246">
        <f>IF('Mkt Pen Veh-Mi'!D49=0,1,1/((1-Fuel2ShrbyTech!D50)/'Inputs 7&amp;8 Sleep'!$P62+Fuel2ShrbyTech!D50/'Inputs 7&amp;8 Sleep'!$V62))</f>
        <v>12.817384155995111</v>
      </c>
      <c r="E49" s="1246">
        <f>IF('Mkt Pen Veh-Mi'!E49=0,1,1/((1-Fuel2ShrbyTech!E50)/'Inputs 7&amp;8 Sleep'!$Q62+Fuel2ShrbyTech!E50/'Inputs 7&amp;8 Sleep'!$W62))</f>
        <v>22.66919417367885</v>
      </c>
      <c r="F49" s="1246">
        <f>IF('Mkt Pen Veh-Mi'!F49=0,1,1/((1-Fuel2ShrbyTech!F50)/'Inputs 7&amp;8 Sleep'!$R62+Fuel2ShrbyTech!F50/'Inputs 7&amp;8 Sleep'!$X62))</f>
        <v>15.208896119734176</v>
      </c>
      <c r="G49" s="1247">
        <f>IF('Mkt Pen Veh-Mi'!G49=0,1,1/((1-Fuel2ShrbyTech!G50)/'Inputs 7&amp;8 Sleep'!$S62+Fuel2ShrbyTech!G50/'Inputs 7&amp;8 Sleep'!$Y62))</f>
        <v>1</v>
      </c>
      <c r="H49" s="1245">
        <f>IF('Mkt Pen Veh-Mi'!H49=0,1,1/((1-Fuel2ShrbyTech!H50)/'Inputs 7&amp;8 Day'!$N62+Fuel2ShrbyTech!H50/'Inputs 7&amp;8 Day'!$T62))</f>
        <v>7.3401213345993215</v>
      </c>
      <c r="I49" s="1246">
        <f>IF('Mkt Pen Veh-Mi'!I49=0,1,1/((1-Fuel2ShrbyTech!I50)/'Inputs 7&amp;8 Day'!$O62+Fuel2ShrbyTech!I50/'Inputs 7&amp;8 Day'!$U62))</f>
        <v>11.995111975831838</v>
      </c>
      <c r="J49" s="1246">
        <f>IF('Mkt Pen Veh-Mi'!J49=0,1,1/((1-Fuel2ShrbyTech!J50)/'Inputs 7&amp;8 Day'!$P62+Fuel2ShrbyTech!J50/'Inputs 7&amp;8 Day'!$V62))</f>
        <v>14.134587064943084</v>
      </c>
      <c r="K49" s="1246">
        <f>IF('Mkt Pen Veh-Mi'!K49=0,1,1/((1-Fuel2ShrbyTech!K50)/'Inputs 7&amp;8 Day'!$Q62+Fuel2ShrbyTech!K50/'Inputs 7&amp;8 Day'!$W62))</f>
        <v>25.422866588923547</v>
      </c>
      <c r="L49" s="1246">
        <f>IF('Mkt Pen Veh-Mi'!L49=0,1,1/((1-Fuel2ShrbyTech!L50)/'Inputs 7&amp;8 Day'!$R62+Fuel2ShrbyTech!L50/'Inputs 7&amp;8 Day'!$X62))</f>
        <v>16.938777409389228</v>
      </c>
      <c r="M49" s="1247">
        <f>IF('Mkt Pen Veh-Mi'!M49=0,1,1/((1-Fuel2ShrbyTech!M50)/'Inputs 7&amp;8 Day'!$S62+Fuel2ShrbyTech!M50/'Inputs 7&amp;8 Day'!$Y62))</f>
        <v>1</v>
      </c>
      <c r="N49" s="1245">
        <f>IF('Mkt Pen Veh-Mi'!N49=0,1,1/((1-Fuel2ShrbyTech!N50)/'Inputs 7&amp;8 SU'!$N62+Fuel2ShrbyTech!N50/'Inputs 7&amp;8 SU'!$T62))</f>
        <v>7.9033031638622333</v>
      </c>
      <c r="O49" s="1246">
        <f>IF('Mkt Pen Veh-Mi'!O49=0,1,1/((1-Fuel2ShrbyTech!O50)/'Inputs 7&amp;8 SU'!$O62+Fuel2ShrbyTech!O50/'Inputs 7&amp;8 SU'!$U62))</f>
        <v>9.4076367660934146</v>
      </c>
      <c r="P49" s="1246">
        <f>IF('Mkt Pen Veh-Mi'!P49=0,1,1/((1-Fuel2ShrbyTech!P50)/'Inputs 7&amp;8 SU'!$P62+Fuel2ShrbyTech!P50/'Inputs 7&amp;8 SU'!$V62))</f>
        <v>16.00835223977051</v>
      </c>
      <c r="Q49" s="1246">
        <f>IF('Mkt Pen Veh-Mi'!Q49=0,1,1/((1-Fuel2ShrbyTech!Q50)/'Inputs 7&amp;8 SU'!$Q62+Fuel2ShrbyTech!Q50/'Inputs 7&amp;8 SU'!$W62))</f>
        <v>38.195223138374267</v>
      </c>
      <c r="R49" s="1246">
        <f>IF('Mkt Pen Veh-Mi'!R49=0,1,1/((1-Fuel2ShrbyTech!R50)/'Inputs 7&amp;8 SU'!$R62+Fuel2ShrbyTech!R50/'Inputs 7&amp;8 SU'!$X62))</f>
        <v>26.123374992606923</v>
      </c>
      <c r="S49" s="1247">
        <f>IF('Mkt Pen Veh-Mi'!S49=0,1,1/((1-Fuel2ShrbyTech!S50)/'Inputs 7&amp;8 SU'!$S62+Fuel2ShrbyTech!S50/'Inputs 7&amp;8 SU'!$Y62))</f>
        <v>1</v>
      </c>
      <c r="U49" s="1191">
        <f t="shared" si="13"/>
        <v>2047</v>
      </c>
      <c r="V49" s="1245">
        <f t="shared" si="14"/>
        <v>8.1044320169487083</v>
      </c>
      <c r="W49" s="1246">
        <f t="shared" si="15"/>
        <v>10.801702759146982</v>
      </c>
      <c r="X49" s="1246">
        <f t="shared" si="16"/>
        <v>12.817384155995111</v>
      </c>
      <c r="Y49" s="1246">
        <f t="shared" si="17"/>
        <v>22.66919417367885</v>
      </c>
      <c r="Z49" s="1246">
        <f t="shared" si="18"/>
        <v>15.208896119734176</v>
      </c>
      <c r="AA49" s="1247">
        <f t="shared" si="19"/>
        <v>0</v>
      </c>
      <c r="AB49" s="1245">
        <f t="shared" si="20"/>
        <v>7.3401213345993215</v>
      </c>
      <c r="AC49" s="1246">
        <f t="shared" si="21"/>
        <v>11.995111975831838</v>
      </c>
      <c r="AD49" s="1246">
        <f t="shared" si="22"/>
        <v>14.134587064943084</v>
      </c>
      <c r="AE49" s="1246">
        <f t="shared" si="23"/>
        <v>25.422866588923547</v>
      </c>
      <c r="AF49" s="1246">
        <f t="shared" si="24"/>
        <v>16.938777409389228</v>
      </c>
      <c r="AG49" s="1247">
        <f t="shared" si="25"/>
        <v>0</v>
      </c>
      <c r="AH49" s="1245">
        <f t="shared" si="26"/>
        <v>7.9033031638622333</v>
      </c>
      <c r="AI49" s="1246">
        <f t="shared" si="27"/>
        <v>9.4076367660934146</v>
      </c>
      <c r="AJ49" s="1246">
        <f t="shared" si="28"/>
        <v>16.00835223977051</v>
      </c>
      <c r="AK49" s="1246">
        <f t="shared" si="29"/>
        <v>38.195223138374267</v>
      </c>
      <c r="AL49" s="1246">
        <f t="shared" si="30"/>
        <v>26.123374992606923</v>
      </c>
      <c r="AM49" s="1247">
        <f t="shared" si="31"/>
        <v>0</v>
      </c>
      <c r="AN49" s="1176">
        <v>2047</v>
      </c>
      <c r="AO49" s="1322">
        <f t="array" ref="AO49">1/SUMPRODUCT(IFERROR(1/V49:AA49,0),'Mkt Pen Veh-Mi'!B49:G49)</f>
        <v>12.539175970619423</v>
      </c>
      <c r="AP49" s="1323">
        <f t="array" ref="AP49">1/SUMPRODUCT(IFERROR(1/AB49:AG49,0),'Mkt Pen Veh-Mi'!H49:M49)</f>
        <v>12.911179134473686</v>
      </c>
      <c r="AQ49" s="1327">
        <f t="array" ref="AQ49">1/SUMPRODUCT(IFERROR(1/AH49:AM49,0),'Mkt Pen Veh-Mi'!N49:S49)</f>
        <v>13.796121989653983</v>
      </c>
      <c r="AR49" s="1320">
        <v>2047</v>
      </c>
      <c r="AS49" s="1322">
        <f t="shared" si="32"/>
        <v>1.5471998462565155</v>
      </c>
      <c r="AT49" s="1323">
        <f t="shared" si="33"/>
        <v>1.7589871537428032</v>
      </c>
      <c r="AU49" s="1323">
        <f t="shared" si="34"/>
        <v>1.7456146757392021</v>
      </c>
      <c r="AV49" s="1327">
        <v>2.2883161082475314</v>
      </c>
    </row>
    <row r="50" spans="1:48" s="1176" customFormat="1" ht="15" x14ac:dyDescent="0.25">
      <c r="A50" s="1191">
        <v>2048</v>
      </c>
      <c r="B50" s="1245">
        <f>IF('Mkt Pen Veh-Mi'!B50=0,1,1/((1-Fuel2ShrbyTech!B51)/'Inputs 7&amp;8 Sleep'!$N63+Fuel2ShrbyTech!B51/'Inputs 7&amp;8 Sleep'!$T63))</f>
        <v>8.1044267226986744</v>
      </c>
      <c r="C50" s="1246">
        <f>IF('Mkt Pen Veh-Mi'!C50=0,1,1/((1-Fuel2ShrbyTech!C51)/'Inputs 7&amp;8 Sleep'!$O63+Fuel2ShrbyTech!C51/'Inputs 7&amp;8 Sleep'!$U63))</f>
        <v>10.877246145486064</v>
      </c>
      <c r="D50" s="1246">
        <f>IF('Mkt Pen Veh-Mi'!D50=0,1,1/((1-Fuel2ShrbyTech!D51)/'Inputs 7&amp;8 Sleep'!$P63+Fuel2ShrbyTech!D51/'Inputs 7&amp;8 Sleep'!$V63))</f>
        <v>12.944580927596949</v>
      </c>
      <c r="E50" s="1246">
        <f>IF('Mkt Pen Veh-Mi'!E50=0,1,1/((1-Fuel2ShrbyTech!E51)/'Inputs 7&amp;8 Sleep'!$Q63+Fuel2ShrbyTech!E51/'Inputs 7&amp;8 Sleep'!$W63))</f>
        <v>22.902892320362959</v>
      </c>
      <c r="F50" s="1246">
        <f>IF('Mkt Pen Veh-Mi'!F50=0,1,1/((1-Fuel2ShrbyTech!F51)/'Inputs 7&amp;8 Sleep'!$R63+Fuel2ShrbyTech!F51/'Inputs 7&amp;8 Sleep'!$X63))</f>
        <v>15.378402285926851</v>
      </c>
      <c r="G50" s="1247">
        <f>IF('Mkt Pen Veh-Mi'!G50=0,1,1/((1-Fuel2ShrbyTech!G51)/'Inputs 7&amp;8 Sleep'!$S63+Fuel2ShrbyTech!G51/'Inputs 7&amp;8 Sleep'!$Y63))</f>
        <v>1</v>
      </c>
      <c r="H50" s="1245">
        <f>IF('Mkt Pen Veh-Mi'!H50=0,1,1/((1-Fuel2ShrbyTech!H51)/'Inputs 7&amp;8 Day'!$N63+Fuel2ShrbyTech!H51/'Inputs 7&amp;8 Day'!$T63))</f>
        <v>7.3405375112326254</v>
      </c>
      <c r="I50" s="1246">
        <f>IF('Mkt Pen Veh-Mi'!I50=0,1,1/((1-Fuel2ShrbyTech!I51)/'Inputs 7&amp;8 Day'!$O63+Fuel2ShrbyTech!I51/'Inputs 7&amp;8 Day'!$U63))</f>
        <v>12.080236635074145</v>
      </c>
      <c r="J50" s="1246">
        <f>IF('Mkt Pen Veh-Mi'!J50=0,1,1/((1-Fuel2ShrbyTech!J51)/'Inputs 7&amp;8 Day'!$P63+Fuel2ShrbyTech!J51/'Inputs 7&amp;8 Day'!$V63))</f>
        <v>14.274962122205491</v>
      </c>
      <c r="K50" s="1246">
        <f>IF('Mkt Pen Veh-Mi'!K50=0,1,1/((1-Fuel2ShrbyTech!K51)/'Inputs 7&amp;8 Day'!$Q63+Fuel2ShrbyTech!K51/'Inputs 7&amp;8 Day'!$W63))</f>
        <v>25.673825886191064</v>
      </c>
      <c r="L50" s="1246">
        <f>IF('Mkt Pen Veh-Mi'!L50=0,1,1/((1-Fuel2ShrbyTech!L51)/'Inputs 7&amp;8 Day'!$R63+Fuel2ShrbyTech!L51/'Inputs 7&amp;8 Day'!$X63))</f>
        <v>17.12258335203818</v>
      </c>
      <c r="M50" s="1247">
        <f>IF('Mkt Pen Veh-Mi'!M50=0,1,1/((1-Fuel2ShrbyTech!M51)/'Inputs 7&amp;8 Day'!$S63+Fuel2ShrbyTech!M51/'Inputs 7&amp;8 Day'!$Y63))</f>
        <v>1</v>
      </c>
      <c r="N50" s="1245">
        <f>IF('Mkt Pen Veh-Mi'!N50=0,1,1/((1-Fuel2ShrbyTech!N51)/'Inputs 7&amp;8 SU'!$N63+Fuel2ShrbyTech!N51/'Inputs 7&amp;8 SU'!$T63))</f>
        <v>7.907855990946878</v>
      </c>
      <c r="O50" s="1246">
        <f>IF('Mkt Pen Veh-Mi'!O50=0,1,1/((1-Fuel2ShrbyTech!O51)/'Inputs 7&amp;8 SU'!$O63+Fuel2ShrbyTech!O51/'Inputs 7&amp;8 SU'!$U63))</f>
        <v>9.4877786614430857</v>
      </c>
      <c r="P50" s="1246">
        <f>IF('Mkt Pen Veh-Mi'!P50=0,1,1/((1-Fuel2ShrbyTech!P51)/'Inputs 7&amp;8 SU'!$P63+Fuel2ShrbyTech!P51/'Inputs 7&amp;8 SU'!$V63))</f>
        <v>16.22435303234624</v>
      </c>
      <c r="Q50" s="1246">
        <f>IF('Mkt Pen Veh-Mi'!Q50=0,1,1/((1-Fuel2ShrbyTech!Q51)/'Inputs 7&amp;8 SU'!$Q63+Fuel2ShrbyTech!Q51/'Inputs 7&amp;8 SU'!$W63))</f>
        <v>38.700156712594591</v>
      </c>
      <c r="R50" s="1246">
        <f>IF('Mkt Pen Veh-Mi'!R50=0,1,1/((1-Fuel2ShrbyTech!R51)/'Inputs 7&amp;8 SU'!$R63+Fuel2ShrbyTech!R51/'Inputs 7&amp;8 SU'!$X63))</f>
        <v>26.520581615446119</v>
      </c>
      <c r="S50" s="1247">
        <f>IF('Mkt Pen Veh-Mi'!S50=0,1,1/((1-Fuel2ShrbyTech!S51)/'Inputs 7&amp;8 SU'!$S63+Fuel2ShrbyTech!S51/'Inputs 7&amp;8 SU'!$Y63))</f>
        <v>1</v>
      </c>
      <c r="U50" s="1191">
        <f t="shared" si="13"/>
        <v>2048</v>
      </c>
      <c r="V50" s="1245">
        <f t="shared" si="14"/>
        <v>8.1044267226986744</v>
      </c>
      <c r="W50" s="1246">
        <f t="shared" si="15"/>
        <v>10.877246145486064</v>
      </c>
      <c r="X50" s="1246">
        <f t="shared" si="16"/>
        <v>12.944580927596949</v>
      </c>
      <c r="Y50" s="1246">
        <f t="shared" si="17"/>
        <v>22.902892320362959</v>
      </c>
      <c r="Z50" s="1246">
        <f t="shared" si="18"/>
        <v>15.378402285926851</v>
      </c>
      <c r="AA50" s="1247">
        <f t="shared" si="19"/>
        <v>0</v>
      </c>
      <c r="AB50" s="1245">
        <f t="shared" si="20"/>
        <v>7.3405375112326254</v>
      </c>
      <c r="AC50" s="1246">
        <f t="shared" si="21"/>
        <v>12.080236635074145</v>
      </c>
      <c r="AD50" s="1246">
        <f t="shared" si="22"/>
        <v>14.274962122205491</v>
      </c>
      <c r="AE50" s="1246">
        <f t="shared" si="23"/>
        <v>25.673825886191064</v>
      </c>
      <c r="AF50" s="1246">
        <f t="shared" si="24"/>
        <v>17.12258335203818</v>
      </c>
      <c r="AG50" s="1247">
        <f t="shared" si="25"/>
        <v>0</v>
      </c>
      <c r="AH50" s="1245">
        <f t="shared" si="26"/>
        <v>7.907855990946878</v>
      </c>
      <c r="AI50" s="1246">
        <f t="shared" si="27"/>
        <v>9.4877786614430857</v>
      </c>
      <c r="AJ50" s="1246">
        <f t="shared" si="28"/>
        <v>16.22435303234624</v>
      </c>
      <c r="AK50" s="1246">
        <f t="shared" si="29"/>
        <v>38.700156712594591</v>
      </c>
      <c r="AL50" s="1246">
        <f t="shared" si="30"/>
        <v>26.520581615446119</v>
      </c>
      <c r="AM50" s="1247">
        <f t="shared" si="31"/>
        <v>0</v>
      </c>
      <c r="AN50" s="1176">
        <v>2048</v>
      </c>
      <c r="AO50" s="1322">
        <f t="array" ref="AO50">1/SUMPRODUCT(IFERROR(1/V50:AA50,0),'Mkt Pen Veh-Mi'!B50:G50)</f>
        <v>12.862926842674803</v>
      </c>
      <c r="AP50" s="1323">
        <f t="array" ref="AP50">1/SUMPRODUCT(IFERROR(1/AB50:AG50,0),'Mkt Pen Veh-Mi'!H50:M50)</f>
        <v>13.096094675203835</v>
      </c>
      <c r="AQ50" s="1327">
        <f t="array" ref="AQ50">1/SUMPRODUCT(IFERROR(1/AH50:AM50,0),'Mkt Pen Veh-Mi'!N50:S50)</f>
        <v>14.416777198715675</v>
      </c>
      <c r="AR50" s="1320">
        <v>2048</v>
      </c>
      <c r="AS50" s="1322">
        <f t="shared" si="32"/>
        <v>1.5871482688156882</v>
      </c>
      <c r="AT50" s="1323">
        <f t="shared" si="33"/>
        <v>1.7840784350143228</v>
      </c>
      <c r="AU50" s="1323">
        <f t="shared" si="34"/>
        <v>1.8230955666390969</v>
      </c>
      <c r="AV50" s="1327">
        <v>2.2967875867465612</v>
      </c>
    </row>
    <row r="51" spans="1:48" s="1176" customFormat="1" ht="15" x14ac:dyDescent="0.25">
      <c r="A51" s="1191">
        <v>2049</v>
      </c>
      <c r="B51" s="1245">
        <f>IF('Mkt Pen Veh-Mi'!B51=0,1,1/((1-Fuel2ShrbyTech!B52)/'Inputs 7&amp;8 Sleep'!$N64+Fuel2ShrbyTech!B52/'Inputs 7&amp;8 Sleep'!$T64))</f>
        <v>8.1044227545263041</v>
      </c>
      <c r="C51" s="1246">
        <f>IF('Mkt Pen Veh-Mi'!C51=0,1,1/((1-Fuel2ShrbyTech!C52)/'Inputs 7&amp;8 Sleep'!$O64+Fuel2ShrbyTech!C52/'Inputs 7&amp;8 Sleep'!$U64))</f>
        <v>10.92600429397327</v>
      </c>
      <c r="D51" s="1246">
        <f>IF('Mkt Pen Veh-Mi'!D51=0,1,1/((1-Fuel2ShrbyTech!D52)/'Inputs 7&amp;8 Sleep'!$P64+Fuel2ShrbyTech!D52/'Inputs 7&amp;8 Sleep'!$V64))</f>
        <v>13.026677844049939</v>
      </c>
      <c r="E51" s="1246">
        <f>IF('Mkt Pen Veh-Mi'!E51=0,1,1/((1-Fuel2ShrbyTech!E52)/'Inputs 7&amp;8 Sleep'!$Q64+Fuel2ShrbyTech!E52/'Inputs 7&amp;8 Sleep'!$W64))</f>
        <v>23.053728674005654</v>
      </c>
      <c r="F51" s="1246">
        <f>IF('Mkt Pen Veh-Mi'!F51=0,1,1/((1-Fuel2ShrbyTech!F52)/'Inputs 7&amp;8 Sleep'!$R64+Fuel2ShrbyTech!F52/'Inputs 7&amp;8 Sleep'!$X64))</f>
        <v>15.487807056102518</v>
      </c>
      <c r="G51" s="1247">
        <f>IF('Mkt Pen Veh-Mi'!G51=0,1,1/((1-Fuel2ShrbyTech!G52)/'Inputs 7&amp;8 Sleep'!$S64+Fuel2ShrbyTech!G52/'Inputs 7&amp;8 Sleep'!$Y64))</f>
        <v>1</v>
      </c>
      <c r="H51" s="1245">
        <f>IF('Mkt Pen Veh-Mi'!H51=0,1,1/((1-Fuel2ShrbyTech!H52)/'Inputs 7&amp;8 Day'!$N64+Fuel2ShrbyTech!H52/'Inputs 7&amp;8 Day'!$T64))</f>
        <v>7.3409536878659303</v>
      </c>
      <c r="I51" s="1246">
        <f>IF('Mkt Pen Veh-Mi'!I51=0,1,1/((1-Fuel2ShrbyTech!I52)/'Inputs 7&amp;8 Day'!$O64+Fuel2ShrbyTech!I52/'Inputs 7&amp;8 Day'!$U64))</f>
        <v>12.135178847442406</v>
      </c>
      <c r="J51" s="1246">
        <f>IF('Mkt Pen Veh-Mi'!J51=0,1,1/((1-Fuel2ShrbyTech!J52)/'Inputs 7&amp;8 Day'!$P64+Fuel2ShrbyTech!J52/'Inputs 7&amp;8 Day'!$V64))</f>
        <v>14.365564731084824</v>
      </c>
      <c r="K51" s="1246">
        <f>IF('Mkt Pen Veh-Mi'!K51=0,1,1/((1-Fuel2ShrbyTech!K52)/'Inputs 7&amp;8 Day'!$Q64+Fuel2ShrbyTech!K52/'Inputs 7&amp;8 Day'!$W64))</f>
        <v>25.83580314553037</v>
      </c>
      <c r="L51" s="1246">
        <f>IF('Mkt Pen Veh-Mi'!L51=0,1,1/((1-Fuel2ShrbyTech!L52)/'Inputs 7&amp;8 Day'!$R64+Fuel2ShrbyTech!L52/'Inputs 7&amp;8 Day'!$X64))</f>
        <v>17.241217661126228</v>
      </c>
      <c r="M51" s="1247">
        <f>IF('Mkt Pen Veh-Mi'!M51=0,1,1/((1-Fuel2ShrbyTech!M52)/'Inputs 7&amp;8 Day'!$S64+Fuel2ShrbyTech!M52/'Inputs 7&amp;8 Day'!$Y64))</f>
        <v>1</v>
      </c>
      <c r="N51" s="1245">
        <f>IF('Mkt Pen Veh-Mi'!N51=0,1,1/((1-Fuel2ShrbyTech!N52)/'Inputs 7&amp;8 SU'!$N64+Fuel2ShrbyTech!N52/'Inputs 7&amp;8 SU'!$T64))</f>
        <v>7.9130968993474102</v>
      </c>
      <c r="O51" s="1246">
        <f>IF('Mkt Pen Veh-Mi'!O51=0,1,1/((1-Fuel2ShrbyTech!O52)/'Inputs 7&amp;8 SU'!$O64+Fuel2ShrbyTech!O52/'Inputs 7&amp;8 SU'!$U64))</f>
        <v>9.5408475914044502</v>
      </c>
      <c r="P51" s="1246">
        <f>IF('Mkt Pen Veh-Mi'!P51=0,1,1/((1-Fuel2ShrbyTech!P52)/'Inputs 7&amp;8 SU'!$P64+Fuel2ShrbyTech!P52/'Inputs 7&amp;8 SU'!$V64))</f>
        <v>16.367385972642769</v>
      </c>
      <c r="Q51" s="1246">
        <f>IF('Mkt Pen Veh-Mi'!Q51=0,1,1/((1-Fuel2ShrbyTech!Q52)/'Inputs 7&amp;8 SU'!$Q64+Fuel2ShrbyTech!Q52/'Inputs 7&amp;8 SU'!$W64))</f>
        <v>39.034517216155471</v>
      </c>
      <c r="R51" s="1246">
        <f>IF('Mkt Pen Veh-Mi'!R51=0,1,1/((1-Fuel2ShrbyTech!R52)/'Inputs 7&amp;8 SU'!$R64+Fuel2ShrbyTech!R52/'Inputs 7&amp;8 SU'!$X64))</f>
        <v>26.783606720550903</v>
      </c>
      <c r="S51" s="1247">
        <f>IF('Mkt Pen Veh-Mi'!S51=0,1,1/((1-Fuel2ShrbyTech!S52)/'Inputs 7&amp;8 SU'!$S64+Fuel2ShrbyTech!S52/'Inputs 7&amp;8 SU'!$Y64))</f>
        <v>1</v>
      </c>
      <c r="U51" s="1191">
        <f t="shared" si="13"/>
        <v>2049</v>
      </c>
      <c r="V51" s="1245">
        <f t="shared" si="14"/>
        <v>8.1044227545263041</v>
      </c>
      <c r="W51" s="1246">
        <f t="shared" si="15"/>
        <v>10.92600429397327</v>
      </c>
      <c r="X51" s="1246">
        <f t="shared" si="16"/>
        <v>13.026677844049939</v>
      </c>
      <c r="Y51" s="1246">
        <f t="shared" si="17"/>
        <v>23.053728674005654</v>
      </c>
      <c r="Z51" s="1246">
        <f t="shared" si="18"/>
        <v>15.487807056102518</v>
      </c>
      <c r="AA51" s="1247">
        <f t="shared" si="19"/>
        <v>0</v>
      </c>
      <c r="AB51" s="1245">
        <f t="shared" si="20"/>
        <v>7.3409536878659303</v>
      </c>
      <c r="AC51" s="1246">
        <f t="shared" si="21"/>
        <v>12.135178847442406</v>
      </c>
      <c r="AD51" s="1246">
        <f t="shared" si="22"/>
        <v>14.365564731084824</v>
      </c>
      <c r="AE51" s="1246">
        <f t="shared" si="23"/>
        <v>25.83580314553037</v>
      </c>
      <c r="AF51" s="1246">
        <f t="shared" si="24"/>
        <v>17.241217661126228</v>
      </c>
      <c r="AG51" s="1247">
        <f t="shared" si="25"/>
        <v>0</v>
      </c>
      <c r="AH51" s="1245">
        <f t="shared" si="26"/>
        <v>7.9130968993474102</v>
      </c>
      <c r="AI51" s="1246">
        <f t="shared" si="27"/>
        <v>9.5408475914044502</v>
      </c>
      <c r="AJ51" s="1246">
        <f t="shared" si="28"/>
        <v>16.367385972642769</v>
      </c>
      <c r="AK51" s="1246">
        <f t="shared" si="29"/>
        <v>39.034517216155471</v>
      </c>
      <c r="AL51" s="1246">
        <f t="shared" si="30"/>
        <v>26.783606720550903</v>
      </c>
      <c r="AM51" s="1247">
        <f t="shared" si="31"/>
        <v>0</v>
      </c>
      <c r="AN51" s="1176">
        <v>2049</v>
      </c>
      <c r="AO51" s="1322">
        <f t="array" ref="AO51">1/SUMPRODUCT(IFERROR(1/V51:AA51,0),'Mkt Pen Veh-Mi'!B51:G51)</f>
        <v>13.089410411397585</v>
      </c>
      <c r="AP51" s="1323">
        <f t="array" ref="AP51">1/SUMPRODUCT(IFERROR(1/AB51:AG51,0),'Mkt Pen Veh-Mi'!H51:M51)</f>
        <v>13.252422386424204</v>
      </c>
      <c r="AQ51" s="1327">
        <f t="array" ref="AQ51">1/SUMPRODUCT(IFERROR(1/AH51:AM51,0),'Mkt Pen Veh-Mi'!N51:S51)</f>
        <v>14.854886135297422</v>
      </c>
      <c r="AR51" s="1320">
        <v>2049</v>
      </c>
      <c r="AS51" s="1322">
        <f t="shared" si="32"/>
        <v>1.6150947214700979</v>
      </c>
      <c r="AT51" s="1323">
        <f t="shared" si="33"/>
        <v>1.805272577639266</v>
      </c>
      <c r="AU51" s="1323">
        <f t="shared" si="34"/>
        <v>1.8772531569179316</v>
      </c>
      <c r="AV51" s="1327">
        <v>2.3322687300900027</v>
      </c>
    </row>
    <row r="52" spans="1:48" s="1176" customFormat="1" ht="15.75" thickBot="1" x14ac:dyDescent="0.3">
      <c r="A52" s="1204">
        <v>2050</v>
      </c>
      <c r="B52" s="1257">
        <f>IF('Mkt Pen Veh-Mi'!B52=0,1,1/((1-Fuel2ShrbyTech!B53)/'Inputs 7&amp;8 Sleep'!$N65+Fuel2ShrbyTech!B53/'Inputs 7&amp;8 Sleep'!$T65))</f>
        <v>8.1044081378346959</v>
      </c>
      <c r="C52" s="1258">
        <f>IF('Mkt Pen Veh-Mi'!C52=0,1,1/((1-Fuel2ShrbyTech!C53)/'Inputs 7&amp;8 Sleep'!$O65+Fuel2ShrbyTech!C53/'Inputs 7&amp;8 Sleep'!$U65))</f>
        <v>11.00596953479296</v>
      </c>
      <c r="D52" s="1258">
        <f>IF('Mkt Pen Veh-Mi'!D52=0,1,1/((1-Fuel2ShrbyTech!D53)/'Inputs 7&amp;8 Sleep'!$P65+Fuel2ShrbyTech!D53/'Inputs 7&amp;8 Sleep'!$V65))</f>
        <v>13.161319947952638</v>
      </c>
      <c r="E52" s="1258">
        <f>IF('Mkt Pen Veh-Mi'!E52=0,1,1/((1-Fuel2ShrbyTech!E53)/'Inputs 7&amp;8 Sleep'!$Q65+Fuel2ShrbyTech!E53/'Inputs 7&amp;8 Sleep'!$W65))</f>
        <v>23.30110610152564</v>
      </c>
      <c r="F52" s="1258">
        <f>IF('Mkt Pen Veh-Mi'!F52=0,1,1/((1-Fuel2ShrbyTech!F53)/'Inputs 7&amp;8 Sleep'!$R65+Fuel2ShrbyTech!F53/'Inputs 7&amp;8 Sleep'!$X65))</f>
        <v>15.667235091525489</v>
      </c>
      <c r="G52" s="1259">
        <f>IF('Mkt Pen Veh-Mi'!G52=0,1,1/((1-Fuel2ShrbyTech!G53)/'Inputs 7&amp;8 Sleep'!$S65+Fuel2ShrbyTech!G53/'Inputs 7&amp;8 Sleep'!$Y65))</f>
        <v>1</v>
      </c>
      <c r="H52" s="1257">
        <f>IF('Mkt Pen Veh-Mi'!H52=0,1,1/((1-Fuel2ShrbyTech!H53)/'Inputs 7&amp;8 Day'!$N65+Fuel2ShrbyTech!H53/'Inputs 7&amp;8 Day'!$T65))</f>
        <v>7.341369864499236</v>
      </c>
      <c r="I52" s="1258">
        <f>IF('Mkt Pen Veh-Mi'!I52=0,1,1/((1-Fuel2ShrbyTech!I53)/'Inputs 7&amp;8 Day'!$O65+Fuel2ShrbyTech!I53/'Inputs 7&amp;8 Day'!$U65))</f>
        <v>12.22528619112768</v>
      </c>
      <c r="J52" s="1258">
        <f>IF('Mkt Pen Veh-Mi'!J52=0,1,1/((1-Fuel2ShrbyTech!J53)/'Inputs 7&amp;8 Day'!$P65+Fuel2ShrbyTech!J53/'Inputs 7&amp;8 Day'!$V65))</f>
        <v>14.514156498055417</v>
      </c>
      <c r="K52" s="1258">
        <f>IF('Mkt Pen Veh-Mi'!K52=0,1,1/((1-Fuel2ShrbyTech!K53)/'Inputs 7&amp;8 Day'!$Q65+Fuel2ShrbyTech!K53/'Inputs 7&amp;8 Day'!$W65))</f>
        <v>26.10145208734323</v>
      </c>
      <c r="L52" s="1258">
        <f>IF('Mkt Pen Veh-Mi'!L52=0,1,1/((1-Fuel2ShrbyTech!L53)/'Inputs 7&amp;8 Day'!$R65+Fuel2ShrbyTech!L53/'Inputs 7&amp;8 Day'!$X65))</f>
        <v>17.435782495723927</v>
      </c>
      <c r="M52" s="1259">
        <f>IF('Mkt Pen Veh-Mi'!M52=0,1,1/((1-Fuel2ShrbyTech!M53)/'Inputs 7&amp;8 Day'!$S65+Fuel2ShrbyTech!M53/'Inputs 7&amp;8 Day'!$Y65))</f>
        <v>1</v>
      </c>
      <c r="N52" s="1257">
        <f>IF('Mkt Pen Veh-Mi'!N52=0,1,1/((1-Fuel2ShrbyTech!N53)/'Inputs 7&amp;8 SU'!$N65+Fuel2ShrbyTech!N53/'Inputs 7&amp;8 SU'!$T65))</f>
        <v>7.9191617011641311</v>
      </c>
      <c r="O52" s="1258">
        <f>IF('Mkt Pen Veh-Mi'!O52=0,1,1/((1-Fuel2ShrbyTech!O53)/'Inputs 7&amp;8 SU'!$O65+Fuel2ShrbyTech!O53/'Inputs 7&amp;8 SU'!$U65))</f>
        <v>9.6302621242624156</v>
      </c>
      <c r="P52" s="1258">
        <f>IF('Mkt Pen Veh-Mi'!P52=0,1,1/((1-Fuel2ShrbyTech!P53)/'Inputs 7&amp;8 SU'!$P65+Fuel2ShrbyTech!P53/'Inputs 7&amp;8 SU'!$V65))</f>
        <v>16.608378650453059</v>
      </c>
      <c r="Q52" s="1258">
        <f>IF('Mkt Pen Veh-Mi'!Q52=0,1,1/((1-Fuel2ShrbyTech!Q53)/'Inputs 7&amp;8 SU'!$Q65+Fuel2ShrbyTech!Q53/'Inputs 7&amp;8 SU'!$W65))</f>
        <v>39.597872992384907</v>
      </c>
      <c r="R52" s="1258">
        <f>IF('Mkt Pen Veh-Mi'!R52=0,1,1/((1-Fuel2ShrbyTech!R53)/'Inputs 7&amp;8 SU'!$R65+Fuel2ShrbyTech!R53/'Inputs 7&amp;8 SU'!$X65))</f>
        <v>27.226771241109041</v>
      </c>
      <c r="S52" s="1259">
        <f>IF('Mkt Pen Veh-Mi'!S52=0,1,1/((1-Fuel2ShrbyTech!S53)/'Inputs 7&amp;8 SU'!$S65+Fuel2ShrbyTech!S53/'Inputs 7&amp;8 SU'!$Y65))</f>
        <v>1</v>
      </c>
      <c r="U52" s="1204">
        <f t="shared" si="13"/>
        <v>2050</v>
      </c>
      <c r="V52" s="1257">
        <f t="shared" si="14"/>
        <v>8.1044081378346959</v>
      </c>
      <c r="W52" s="1258">
        <f t="shared" si="15"/>
        <v>11.00596953479296</v>
      </c>
      <c r="X52" s="1258">
        <f t="shared" si="16"/>
        <v>13.161319947952638</v>
      </c>
      <c r="Y52" s="1258">
        <f t="shared" si="17"/>
        <v>23.30110610152564</v>
      </c>
      <c r="Z52" s="1258">
        <f t="shared" si="18"/>
        <v>15.667235091525489</v>
      </c>
      <c r="AA52" s="1259">
        <f t="shared" si="19"/>
        <v>0</v>
      </c>
      <c r="AB52" s="1257">
        <f t="shared" si="20"/>
        <v>7.341369864499236</v>
      </c>
      <c r="AC52" s="1258">
        <f t="shared" si="21"/>
        <v>12.22528619112768</v>
      </c>
      <c r="AD52" s="1258">
        <f t="shared" si="22"/>
        <v>14.514156498055417</v>
      </c>
      <c r="AE52" s="1258">
        <f t="shared" si="23"/>
        <v>26.10145208734323</v>
      </c>
      <c r="AF52" s="1258">
        <f t="shared" si="24"/>
        <v>17.435782495723927</v>
      </c>
      <c r="AG52" s="1259">
        <f t="shared" si="25"/>
        <v>0</v>
      </c>
      <c r="AH52" s="1257">
        <f t="shared" si="26"/>
        <v>7.9191617011641311</v>
      </c>
      <c r="AI52" s="1258">
        <f t="shared" si="27"/>
        <v>9.6302621242624156</v>
      </c>
      <c r="AJ52" s="1258">
        <f t="shared" si="28"/>
        <v>16.608378650453059</v>
      </c>
      <c r="AK52" s="1258">
        <f t="shared" si="29"/>
        <v>39.597872992384907</v>
      </c>
      <c r="AL52" s="1258">
        <f t="shared" si="30"/>
        <v>27.226771241109041</v>
      </c>
      <c r="AM52" s="1259">
        <f t="shared" si="31"/>
        <v>0</v>
      </c>
      <c r="AN52" s="1176">
        <v>2050</v>
      </c>
      <c r="AO52" s="1324">
        <f t="array" ref="AO52">1/SUMPRODUCT(IFERROR(1/V52:AA52,0),'Mkt Pen Veh-Mi'!B52:G52)</f>
        <v>13.394123690193837</v>
      </c>
      <c r="AP52" s="1325">
        <f t="array" ref="AP52">1/SUMPRODUCT(IFERROR(1/AB52:AG52,0),'Mkt Pen Veh-Mi'!H52:M52)</f>
        <v>13.45048090253921</v>
      </c>
      <c r="AQ52" s="1334">
        <f t="array" ref="AQ52">1/SUMPRODUCT(IFERROR(1/AH52:AM52,0),'Mkt Pen Veh-Mi'!N52:S52)</f>
        <v>15.609687499199156</v>
      </c>
      <c r="AR52" s="1320">
        <v>2050</v>
      </c>
      <c r="AS52" s="1331">
        <f t="shared" si="32"/>
        <v>1.6526960960498254</v>
      </c>
      <c r="AT52" s="1332">
        <f t="shared" si="33"/>
        <v>1.8321486521993513</v>
      </c>
      <c r="AU52" s="1332">
        <f t="shared" si="34"/>
        <v>1.9711287745146691</v>
      </c>
      <c r="AV52" s="1333">
        <v>2.3546741005366987</v>
      </c>
    </row>
  </sheetData>
  <mergeCells count="14">
    <mergeCell ref="B4:G4"/>
    <mergeCell ref="H4:M4"/>
    <mergeCell ref="N4:S4"/>
    <mergeCell ref="B5:G5"/>
    <mergeCell ref="H5:M5"/>
    <mergeCell ref="N5:S5"/>
    <mergeCell ref="AS7:AV7"/>
    <mergeCell ref="AO7:AQ7"/>
    <mergeCell ref="V4:AA4"/>
    <mergeCell ref="AB4:AG4"/>
    <mergeCell ref="AH4:AM4"/>
    <mergeCell ref="V5:AA5"/>
    <mergeCell ref="AB5:AG5"/>
    <mergeCell ref="AH5:AM5"/>
  </mergeCells>
  <conditionalFormatting sqref="B6:S52">
    <cfRule type="expression" dxfId="3" priority="4">
      <formula>B$7="not used"</formula>
    </cfRule>
  </conditionalFormatting>
  <conditionalFormatting sqref="V9:AM52">
    <cfRule type="expression" dxfId="2" priority="1">
      <formula>V$7="not used"</formula>
    </cfRule>
  </conditionalFormatting>
  <conditionalFormatting sqref="V6:AM8">
    <cfRule type="expression" dxfId="1"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topLeftCell="A16" zoomScale="85" zoomScaleNormal="85" workbookViewId="0">
      <selection activeCell="J9" sqref="J9:K52"/>
    </sheetView>
  </sheetViews>
  <sheetFormatPr defaultColWidth="9.140625" defaultRowHeight="12.75" x14ac:dyDescent="0.2"/>
  <cols>
    <col min="1" max="7" width="9.140625" style="496"/>
    <col min="8" max="8" width="11.42578125" style="496" customWidth="1"/>
    <col min="9" max="10" width="9.140625" style="496"/>
    <col min="11" max="11" width="10.5703125" style="496" bestFit="1" customWidth="1"/>
    <col min="12" max="13" width="9.140625" style="496"/>
    <col min="14" max="14" width="11.7109375" style="496" bestFit="1" customWidth="1"/>
    <col min="15" max="15" width="9.140625" style="496"/>
    <col min="16" max="16" width="9.140625" style="1131"/>
    <col min="17" max="17" width="11.7109375" style="496" customWidth="1"/>
    <col min="18" max="18" width="12" style="496" customWidth="1"/>
    <col min="19" max="19" width="18" style="496" customWidth="1"/>
    <col min="20" max="20" width="9.140625" style="496"/>
    <col min="21" max="21" width="13" style="496" customWidth="1"/>
    <col min="22" max="22" width="14.140625" style="496" customWidth="1"/>
    <col min="23" max="24" width="9.140625" style="496"/>
    <col min="25" max="25" width="11.140625" style="496" customWidth="1"/>
    <col min="26" max="16384" width="9.140625" style="496"/>
  </cols>
  <sheetData>
    <row r="1" spans="1:31" ht="15.75" thickBot="1" x14ac:dyDescent="0.3">
      <c r="A1" s="1303" t="s">
        <v>291</v>
      </c>
    </row>
    <row r="2" spans="1:31" x14ac:dyDescent="0.2">
      <c r="M2" s="1604" t="s">
        <v>362</v>
      </c>
      <c r="N2" s="1605"/>
    </row>
    <row r="3" spans="1:31" x14ac:dyDescent="0.2">
      <c r="M3" s="1606"/>
      <c r="N3" s="1607"/>
      <c r="P3" s="1131" t="s">
        <v>355</v>
      </c>
    </row>
    <row r="4" spans="1:31" x14ac:dyDescent="0.2">
      <c r="M4" s="1127" t="s">
        <v>294</v>
      </c>
      <c r="N4" s="1128">
        <v>4</v>
      </c>
    </row>
    <row r="5" spans="1:31" x14ac:dyDescent="0.2">
      <c r="M5" s="1127" t="s">
        <v>295</v>
      </c>
      <c r="N5" s="1128">
        <v>0.5</v>
      </c>
      <c r="P5" s="1132" t="s">
        <v>289</v>
      </c>
      <c r="Q5" s="571" t="s">
        <v>290</v>
      </c>
      <c r="W5" s="1115"/>
    </row>
    <row r="6" spans="1:31" ht="13.5" thickBot="1" x14ac:dyDescent="0.25">
      <c r="J6" s="496" t="s">
        <v>447</v>
      </c>
      <c r="M6" s="1129" t="s">
        <v>296</v>
      </c>
      <c r="N6" s="1130">
        <v>1</v>
      </c>
      <c r="P6" s="1131" t="s">
        <v>329</v>
      </c>
      <c r="Q6" s="496">
        <v>2</v>
      </c>
    </row>
    <row r="7" spans="1:31" ht="13.5" thickBot="1" x14ac:dyDescent="0.25">
      <c r="J7" s="1379" t="b">
        <v>0</v>
      </c>
      <c r="K7" s="1379" t="b">
        <v>0</v>
      </c>
      <c r="P7" s="1133" t="s">
        <v>3</v>
      </c>
      <c r="Q7" s="1116" t="s">
        <v>6</v>
      </c>
      <c r="R7" s="1116" t="s">
        <v>285</v>
      </c>
      <c r="S7" s="1116" t="s">
        <v>286</v>
      </c>
      <c r="T7" s="1116" t="s">
        <v>287</v>
      </c>
      <c r="U7" s="1116" t="s">
        <v>207</v>
      </c>
      <c r="V7" s="1116" t="s">
        <v>288</v>
      </c>
      <c r="W7" s="1116" t="s">
        <v>1</v>
      </c>
      <c r="X7" s="1116" t="s">
        <v>50</v>
      </c>
      <c r="Y7" s="538" t="s">
        <v>0</v>
      </c>
      <c r="Z7" s="1351" t="s">
        <v>407</v>
      </c>
      <c r="AD7" s="496" t="s">
        <v>6</v>
      </c>
      <c r="AE7" s="496" t="s">
        <v>207</v>
      </c>
    </row>
    <row r="8" spans="1:31" ht="13.5" thickBot="1" x14ac:dyDescent="0.25">
      <c r="B8" s="1168"/>
      <c r="C8" s="1163" t="str">
        <f t="array" ref="C8:K8">Fuels</f>
        <v>LPG</v>
      </c>
      <c r="D8" s="1163" t="str">
        <v>E85</v>
      </c>
      <c r="E8" s="1163" t="str">
        <v>Gasoline</v>
      </c>
      <c r="F8" s="1163" t="str">
        <v>Jet Fuel</v>
      </c>
      <c r="G8" s="1163" t="str">
        <v>Diesel</v>
      </c>
      <c r="H8" s="1163" t="str">
        <v>Residual Fuel Oil</v>
      </c>
      <c r="I8" s="1163" t="str">
        <v>CNG</v>
      </c>
      <c r="J8" s="1494" t="str">
        <v>Electricity</v>
      </c>
      <c r="K8" s="1495" t="str">
        <v>Hydrogen</v>
      </c>
      <c r="M8" s="496" t="s">
        <v>292</v>
      </c>
      <c r="N8" s="496" t="s">
        <v>293</v>
      </c>
      <c r="P8" s="1134">
        <v>1992</v>
      </c>
      <c r="Q8" s="1117"/>
      <c r="R8" s="1117">
        <v>3297</v>
      </c>
      <c r="S8" s="1117">
        <v>43</v>
      </c>
      <c r="T8" s="1117"/>
      <c r="U8" s="1117"/>
      <c r="V8" s="1117"/>
      <c r="W8" s="1117">
        <v>349</v>
      </c>
      <c r="X8" s="1117">
        <v>2</v>
      </c>
      <c r="Y8" s="1126"/>
      <c r="AC8" s="496">
        <v>1992</v>
      </c>
      <c r="AD8" s="1301" t="e">
        <f>Table1[[#This Row],[Electricity]]/Table1[[#This Row],[Gasoline]]</f>
        <v>#DIV/0!</v>
      </c>
      <c r="AE8" s="1301" t="e">
        <f>Table1[[#This Row],[Hydrogen]]/Table1[[#This Row],[Gasoline]]</f>
        <v>#DIV/0!</v>
      </c>
    </row>
    <row r="9" spans="1:31" x14ac:dyDescent="0.2">
      <c r="B9" s="1160">
        <v>2007</v>
      </c>
      <c r="C9" s="1164">
        <v>1</v>
      </c>
      <c r="D9" s="1165">
        <v>1</v>
      </c>
      <c r="E9" s="1165">
        <v>1</v>
      </c>
      <c r="F9" s="1165">
        <v>1</v>
      </c>
      <c r="G9" s="1165">
        <v>1</v>
      </c>
      <c r="H9" s="1165">
        <v>1</v>
      </c>
      <c r="I9" s="1165">
        <v>1</v>
      </c>
      <c r="J9" s="1304">
        <f>IF(J$7,VLOOKUP(Q23/Y23,$M$9:$N$109,2),1)</f>
        <v>1</v>
      </c>
      <c r="K9" s="1305">
        <f>IF(K$7,VLOOKUP(U23/Y23,$M$9:$N$109,2),1)</f>
        <v>1</v>
      </c>
      <c r="M9" s="1302">
        <v>0</v>
      </c>
      <c r="N9" s="1287">
        <f t="shared" ref="N9:N40" si="0">WEIBULL(M9,$N$4,$N$5,$N$6)</f>
        <v>0</v>
      </c>
      <c r="P9" s="1134">
        <v>1993</v>
      </c>
      <c r="Q9" s="1117"/>
      <c r="R9" s="1117">
        <v>3297</v>
      </c>
      <c r="S9" s="1117">
        <v>50</v>
      </c>
      <c r="T9" s="1117"/>
      <c r="U9" s="1117"/>
      <c r="V9" s="1117"/>
      <c r="W9" s="1117">
        <v>497</v>
      </c>
      <c r="X9" s="1117">
        <v>7</v>
      </c>
      <c r="Y9" s="1126"/>
      <c r="AC9" s="496">
        <v>1993</v>
      </c>
      <c r="AD9" s="1301" t="e">
        <f>Table1[[#This Row],[Electricity]]/Table1[[#This Row],[Gasoline]]</f>
        <v>#DIV/0!</v>
      </c>
      <c r="AE9" s="1301" t="e">
        <f>Table1[[#This Row],[Hydrogen]]/Table1[[#This Row],[Gasoline]]</f>
        <v>#DIV/0!</v>
      </c>
    </row>
    <row r="10" spans="1:31" x14ac:dyDescent="0.2">
      <c r="B10" s="1160">
        <v>2008</v>
      </c>
      <c r="C10" s="1166">
        <v>1</v>
      </c>
      <c r="D10" s="1158">
        <v>1</v>
      </c>
      <c r="E10" s="1158">
        <v>1</v>
      </c>
      <c r="F10" s="1158">
        <v>1</v>
      </c>
      <c r="G10" s="1158">
        <v>1</v>
      </c>
      <c r="H10" s="1158">
        <v>1</v>
      </c>
      <c r="I10" s="1158">
        <v>1</v>
      </c>
      <c r="J10" s="1306">
        <f>IF(J$7,VLOOKUP(Q24/Y24,$M$9:$N$109,2),1)</f>
        <v>1</v>
      </c>
      <c r="K10" s="1307">
        <f>IF(K$7,VLOOKUP(U24/Y24,$M$9:$N$109,2),1)</f>
        <v>1</v>
      </c>
      <c r="M10" s="1302">
        <v>0.01</v>
      </c>
      <c r="N10" s="1287">
        <f t="shared" si="0"/>
        <v>1.5999998720000074E-7</v>
      </c>
      <c r="P10" s="1134">
        <v>1994</v>
      </c>
      <c r="Q10" s="1117"/>
      <c r="R10" s="1117">
        <v>3299</v>
      </c>
      <c r="S10" s="1117">
        <v>82</v>
      </c>
      <c r="T10" s="1117"/>
      <c r="U10" s="1117"/>
      <c r="V10" s="1117"/>
      <c r="W10" s="1117">
        <v>1042</v>
      </c>
      <c r="X10" s="1117">
        <v>32</v>
      </c>
      <c r="Y10" s="1126"/>
      <c r="AC10" s="496">
        <v>1994</v>
      </c>
      <c r="AD10" s="1301" t="e">
        <f>Table1[[#This Row],[Electricity]]/Table1[[#This Row],[Gasoline]]</f>
        <v>#DIV/0!</v>
      </c>
      <c r="AE10" s="1301" t="e">
        <f>Table1[[#This Row],[Hydrogen]]/Table1[[#This Row],[Gasoline]]</f>
        <v>#DIV/0!</v>
      </c>
    </row>
    <row r="11" spans="1:31" x14ac:dyDescent="0.2">
      <c r="B11" s="1160">
        <v>2009</v>
      </c>
      <c r="C11" s="1166">
        <v>1</v>
      </c>
      <c r="D11" s="1158">
        <v>1</v>
      </c>
      <c r="E11" s="1158">
        <v>1</v>
      </c>
      <c r="F11" s="1158">
        <v>1</v>
      </c>
      <c r="G11" s="1158">
        <v>1</v>
      </c>
      <c r="H11" s="1158">
        <v>1</v>
      </c>
      <c r="I11" s="1158">
        <v>1</v>
      </c>
      <c r="J11" s="1306">
        <f>IF(J$7,VLOOKUP(Q25/Y25,$M$9:$N$109,2),1)</f>
        <v>1</v>
      </c>
      <c r="K11" s="1307">
        <f>IF(K$7,VLOOKUP(U25/Y25,$M$9:$N$109,2),1)</f>
        <v>1</v>
      </c>
      <c r="M11" s="1302">
        <f>M10+0.01</f>
        <v>0.02</v>
      </c>
      <c r="N11" s="1287">
        <f t="shared" si="0"/>
        <v>2.559996723202798E-6</v>
      </c>
      <c r="P11" s="1134">
        <v>1995</v>
      </c>
      <c r="Q11" s="1117">
        <f>188</f>
        <v>188</v>
      </c>
      <c r="R11" s="1117">
        <v>3299</v>
      </c>
      <c r="S11" s="1117">
        <v>88</v>
      </c>
      <c r="T11" s="1117"/>
      <c r="U11" s="1117"/>
      <c r="V11" s="1117"/>
      <c r="W11" s="1117">
        <v>1065</v>
      </c>
      <c r="X11" s="1117">
        <v>37</v>
      </c>
      <c r="Y11" s="1126"/>
      <c r="AC11" s="496">
        <v>1995</v>
      </c>
      <c r="AD11" s="1301" t="e">
        <f>Table1[[#This Row],[Electricity]]/Table1[[#This Row],[Gasoline]]</f>
        <v>#DIV/0!</v>
      </c>
      <c r="AE11" s="1301" t="e">
        <f>Table1[[#This Row],[Hydrogen]]/Table1[[#This Row],[Gasoline]]</f>
        <v>#DIV/0!</v>
      </c>
    </row>
    <row r="12" spans="1:31" x14ac:dyDescent="0.2">
      <c r="B12" s="1161">
        <v>2010</v>
      </c>
      <c r="C12" s="1166">
        <v>1</v>
      </c>
      <c r="D12" s="1158">
        <v>1</v>
      </c>
      <c r="E12" s="1158">
        <v>1</v>
      </c>
      <c r="F12" s="1158">
        <v>1</v>
      </c>
      <c r="G12" s="1158">
        <v>1</v>
      </c>
      <c r="H12" s="1158">
        <v>1</v>
      </c>
      <c r="I12" s="1158">
        <v>1</v>
      </c>
      <c r="J12" s="1306">
        <f>IF(J$7,VLOOKUP(Q26/Y26,$M$9:$N$109,2),1)</f>
        <v>1</v>
      </c>
      <c r="K12" s="1307">
        <f>IF(K$7,VLOOKUP(U26/Y26,$M$9:$N$109,2),1)</f>
        <v>1</v>
      </c>
      <c r="M12" s="1302">
        <f t="shared" ref="M12:M75" si="1">M11+0.01</f>
        <v>0.03</v>
      </c>
      <c r="N12" s="1287">
        <f t="shared" si="0"/>
        <v>1.2959916019562793E-5</v>
      </c>
      <c r="P12" s="1134">
        <v>1996</v>
      </c>
      <c r="Q12" s="1117">
        <f>194</f>
        <v>194</v>
      </c>
      <c r="R12" s="1117">
        <v>4252</v>
      </c>
      <c r="S12" s="1117">
        <v>95</v>
      </c>
      <c r="T12" s="1117">
        <v>72</v>
      </c>
      <c r="U12" s="1117"/>
      <c r="V12" s="1117"/>
      <c r="W12" s="1117">
        <v>1419</v>
      </c>
      <c r="X12" s="1117">
        <v>68</v>
      </c>
      <c r="Y12" s="1126">
        <v>190246</v>
      </c>
      <c r="AC12" s="496">
        <v>1996</v>
      </c>
      <c r="AD12" s="1301">
        <f>Table1[[#This Row],[Electricity]]/Table1[[#This Row],[Gasoline]]</f>
        <v>1.0197323465407945E-3</v>
      </c>
      <c r="AE12" s="1301">
        <f>Table1[[#This Row],[Hydrogen]]/Table1[[#This Row],[Gasoline]]</f>
        <v>0</v>
      </c>
    </row>
    <row r="13" spans="1:31" x14ac:dyDescent="0.2">
      <c r="B13" s="1161">
        <v>2011</v>
      </c>
      <c r="C13" s="1166">
        <v>1</v>
      </c>
      <c r="D13" s="1158">
        <v>1</v>
      </c>
      <c r="E13" s="1158">
        <v>1</v>
      </c>
      <c r="F13" s="1158">
        <v>1</v>
      </c>
      <c r="G13" s="1158">
        <v>1</v>
      </c>
      <c r="H13" s="1158">
        <v>1</v>
      </c>
      <c r="I13" s="1158">
        <v>1</v>
      </c>
      <c r="J13" s="1306">
        <f>IF(J$7,VLOOKUP(Q27/Y27,$M$9:$N$109,2),1)</f>
        <v>1</v>
      </c>
      <c r="K13" s="1307">
        <f>IF(K$7,VLOOKUP(U27/Y27,$M$9:$N$109,2),1)</f>
        <v>1</v>
      </c>
      <c r="M13" s="1302">
        <f t="shared" si="1"/>
        <v>0.04</v>
      </c>
      <c r="N13" s="1287">
        <f t="shared" si="0"/>
        <v>4.0959161150653103E-5</v>
      </c>
      <c r="P13" s="1134">
        <v>1997</v>
      </c>
      <c r="Q13" s="1117">
        <f>310</f>
        <v>310</v>
      </c>
      <c r="R13" s="1117">
        <v>4255</v>
      </c>
      <c r="S13" s="1117">
        <v>106</v>
      </c>
      <c r="T13" s="1117">
        <v>71</v>
      </c>
      <c r="U13" s="1117"/>
      <c r="V13" s="1117"/>
      <c r="W13" s="1117">
        <v>1426</v>
      </c>
      <c r="X13" s="1117">
        <v>71</v>
      </c>
      <c r="Y13" s="1126">
        <v>187892</v>
      </c>
      <c r="AC13" s="496">
        <v>1997</v>
      </c>
      <c r="AD13" s="1301">
        <f>Table1[[#This Row],[Electricity]]/Table1[[#This Row],[Gasoline]]</f>
        <v>1.6498839759010496E-3</v>
      </c>
      <c r="AE13" s="1301">
        <f>Table1[[#This Row],[Hydrogen]]/Table1[[#This Row],[Gasoline]]</f>
        <v>0</v>
      </c>
    </row>
    <row r="14" spans="1:31" x14ac:dyDescent="0.2">
      <c r="B14" s="1161">
        <v>2012</v>
      </c>
      <c r="C14" s="1166">
        <v>1</v>
      </c>
      <c r="D14" s="1158">
        <v>1</v>
      </c>
      <c r="E14" s="1158">
        <v>1</v>
      </c>
      <c r="F14" s="1158">
        <v>1</v>
      </c>
      <c r="G14" s="1158">
        <v>1</v>
      </c>
      <c r="H14" s="1158">
        <v>1</v>
      </c>
      <c r="I14" s="1158">
        <v>1</v>
      </c>
      <c r="J14" s="1306">
        <f>IF(J$7,VLOOKUP(Q28/Y28,$M$9:$N$109,2),1)</f>
        <v>1</v>
      </c>
      <c r="K14" s="1307">
        <f>IF(K$7,VLOOKUP(U28/Y28,$M$9:$N$109,2),1)</f>
        <v>1</v>
      </c>
      <c r="M14" s="1302">
        <f t="shared" si="1"/>
        <v>0.05</v>
      </c>
      <c r="N14" s="1287">
        <f t="shared" si="0"/>
        <v>9.999500016666259E-5</v>
      </c>
      <c r="P14" s="1134">
        <v>1998</v>
      </c>
      <c r="Q14" s="1117">
        <f>486</f>
        <v>486</v>
      </c>
      <c r="R14" s="1117">
        <v>5318</v>
      </c>
      <c r="S14" s="1117">
        <v>91</v>
      </c>
      <c r="T14" s="1117">
        <v>66</v>
      </c>
      <c r="U14" s="1117"/>
      <c r="V14" s="1117"/>
      <c r="W14" s="1117">
        <v>1268</v>
      </c>
      <c r="X14" s="1117">
        <v>40</v>
      </c>
      <c r="Y14" s="1126">
        <v>182596</v>
      </c>
      <c r="AC14" s="496">
        <v>1998</v>
      </c>
      <c r="AD14" s="1301">
        <f>Table1[[#This Row],[Electricity]]/Table1[[#This Row],[Gasoline]]</f>
        <v>2.6616136169467018E-3</v>
      </c>
      <c r="AE14" s="1301">
        <f>Table1[[#This Row],[Hydrogen]]/Table1[[#This Row],[Gasoline]]</f>
        <v>0</v>
      </c>
    </row>
    <row r="15" spans="1:31" x14ac:dyDescent="0.2">
      <c r="B15" s="1161">
        <v>2013</v>
      </c>
      <c r="C15" s="1166">
        <v>1</v>
      </c>
      <c r="D15" s="1158">
        <v>1</v>
      </c>
      <c r="E15" s="1158">
        <v>1</v>
      </c>
      <c r="F15" s="1158">
        <v>1</v>
      </c>
      <c r="G15" s="1158">
        <v>1</v>
      </c>
      <c r="H15" s="1158">
        <v>1</v>
      </c>
      <c r="I15" s="1158">
        <v>1</v>
      </c>
      <c r="J15" s="1306">
        <f>IF(J$7,VLOOKUP(Q29/Y29,$M$9:$N$109,2),1)</f>
        <v>1</v>
      </c>
      <c r="K15" s="1307">
        <f>IF(K$7,VLOOKUP(U29/Y29,$M$9:$N$109,2),1)</f>
        <v>1</v>
      </c>
      <c r="M15" s="1302">
        <f t="shared" si="1"/>
        <v>6.0000000000000005E-2</v>
      </c>
      <c r="N15" s="1287">
        <f t="shared" si="0"/>
        <v>2.0733850240113979E-4</v>
      </c>
      <c r="P15" s="1134">
        <v>1999</v>
      </c>
      <c r="Q15" s="1117">
        <f>490</f>
        <v>490</v>
      </c>
      <c r="R15" s="1117">
        <v>4153</v>
      </c>
      <c r="S15" s="1117">
        <v>51</v>
      </c>
      <c r="T15" s="1117">
        <v>46</v>
      </c>
      <c r="U15" s="1117"/>
      <c r="V15" s="1117"/>
      <c r="W15" s="1117">
        <v>1267</v>
      </c>
      <c r="X15" s="1117">
        <v>49</v>
      </c>
      <c r="Y15" s="1126">
        <v>180567</v>
      </c>
      <c r="AC15" s="496">
        <v>1999</v>
      </c>
      <c r="AD15" s="1301">
        <f>Table1[[#This Row],[Electricity]]/Table1[[#This Row],[Gasoline]]</f>
        <v>2.7136741486539621E-3</v>
      </c>
      <c r="AE15" s="1301">
        <f>Table1[[#This Row],[Hydrogen]]/Table1[[#This Row],[Gasoline]]</f>
        <v>0</v>
      </c>
    </row>
    <row r="16" spans="1:31" x14ac:dyDescent="0.2">
      <c r="B16" s="1161">
        <v>2014</v>
      </c>
      <c r="C16" s="1166">
        <v>1</v>
      </c>
      <c r="D16" s="1158">
        <v>1</v>
      </c>
      <c r="E16" s="1158">
        <v>1</v>
      </c>
      <c r="F16" s="1158">
        <v>1</v>
      </c>
      <c r="G16" s="1158">
        <v>1</v>
      </c>
      <c r="H16" s="1158">
        <v>1</v>
      </c>
      <c r="I16" s="1158">
        <v>1</v>
      </c>
      <c r="J16" s="1306">
        <f>IF(J$7,VLOOKUP(Q30/Y30,$M$9:$N$109,2),1)</f>
        <v>1</v>
      </c>
      <c r="K16" s="1307">
        <f>IF(K$7,VLOOKUP(U30/Y30,$M$9:$N$109,2),1)</f>
        <v>1</v>
      </c>
      <c r="M16" s="1302">
        <f t="shared" si="1"/>
        <v>7.0000000000000007E-2</v>
      </c>
      <c r="N16" s="1287">
        <f t="shared" si="0"/>
        <v>3.8408621999527803E-4</v>
      </c>
      <c r="P16" s="1134">
        <v>2000</v>
      </c>
      <c r="Q16" s="1117">
        <f>558</f>
        <v>558</v>
      </c>
      <c r="R16" s="1117">
        <v>3268</v>
      </c>
      <c r="S16" s="1117">
        <v>3</v>
      </c>
      <c r="T16" s="1117">
        <v>44</v>
      </c>
      <c r="U16" s="1117"/>
      <c r="V16" s="1117">
        <v>2</v>
      </c>
      <c r="W16" s="1117">
        <v>1217</v>
      </c>
      <c r="X16" s="1117">
        <v>113</v>
      </c>
      <c r="Y16" s="1126">
        <v>175941</v>
      </c>
      <c r="AC16" s="496">
        <v>2000</v>
      </c>
      <c r="AD16" s="1301">
        <f>Table1[[#This Row],[Electricity]]/Table1[[#This Row],[Gasoline]]</f>
        <v>3.1715177246918001E-3</v>
      </c>
      <c r="AE16" s="1301">
        <f>Table1[[#This Row],[Hydrogen]]/Table1[[#This Row],[Gasoline]]</f>
        <v>0</v>
      </c>
    </row>
    <row r="17" spans="2:31" x14ac:dyDescent="0.2">
      <c r="B17" s="1161">
        <v>2015</v>
      </c>
      <c r="C17" s="1166">
        <v>1</v>
      </c>
      <c r="D17" s="1158">
        <v>1</v>
      </c>
      <c r="E17" s="1158">
        <v>1</v>
      </c>
      <c r="F17" s="1158">
        <v>1</v>
      </c>
      <c r="G17" s="1158">
        <v>1</v>
      </c>
      <c r="H17" s="1158">
        <v>1</v>
      </c>
      <c r="I17" s="1158">
        <v>1</v>
      </c>
      <c r="J17" s="1306">
        <f>IF(J$7,VLOOKUP(Q31/Y31,$M$9:$N$109,2),1)</f>
        <v>1</v>
      </c>
      <c r="K17" s="1307">
        <f>IF(K$7,VLOOKUP(U31/Y31,$M$9:$N$109,2),1)</f>
        <v>1</v>
      </c>
      <c r="M17" s="1302">
        <f t="shared" si="1"/>
        <v>0.08</v>
      </c>
      <c r="N17" s="1287">
        <f t="shared" si="0"/>
        <v>6.5514529854001074E-4</v>
      </c>
      <c r="P17" s="1134">
        <v>2001</v>
      </c>
      <c r="Q17" s="1117">
        <f>693</f>
        <v>693</v>
      </c>
      <c r="R17" s="1117">
        <v>3403</v>
      </c>
      <c r="S17" s="1117"/>
      <c r="T17" s="1117">
        <v>44</v>
      </c>
      <c r="U17" s="1117"/>
      <c r="V17" s="1117">
        <v>16</v>
      </c>
      <c r="W17" s="1117">
        <v>1232</v>
      </c>
      <c r="X17" s="1117">
        <v>154</v>
      </c>
      <c r="Y17" s="1126">
        <v>172169</v>
      </c>
      <c r="AC17" s="496">
        <v>2001</v>
      </c>
      <c r="AD17" s="1301">
        <f>Table1[[#This Row],[Electricity]]/Table1[[#This Row],[Gasoline]]</f>
        <v>4.0251148580754958E-3</v>
      </c>
      <c r="AE17" s="1301">
        <f>Table1[[#This Row],[Hydrogen]]/Table1[[#This Row],[Gasoline]]</f>
        <v>0</v>
      </c>
    </row>
    <row r="18" spans="2:31" x14ac:dyDescent="0.2">
      <c r="B18" s="1161">
        <v>2016</v>
      </c>
      <c r="C18" s="1166">
        <v>1</v>
      </c>
      <c r="D18" s="1158">
        <v>1</v>
      </c>
      <c r="E18" s="1158">
        <v>1</v>
      </c>
      <c r="F18" s="1158">
        <v>1</v>
      </c>
      <c r="G18" s="1158">
        <v>1</v>
      </c>
      <c r="H18" s="1158">
        <v>1</v>
      </c>
      <c r="I18" s="1158">
        <v>1</v>
      </c>
      <c r="J18" s="1306">
        <f>IF(J$7,VLOOKUP(Q32/Y32,$M$9:$N$109,2),1)</f>
        <v>1</v>
      </c>
      <c r="K18" s="1307">
        <f>IF(K$7,VLOOKUP(U32/Y32,$M$9:$N$109,2),1)</f>
        <v>1</v>
      </c>
      <c r="M18" s="1302">
        <f t="shared" si="1"/>
        <v>0.09</v>
      </c>
      <c r="N18" s="1287">
        <f t="shared" si="0"/>
        <v>1.0492091947258413E-3</v>
      </c>
      <c r="P18" s="1134">
        <v>2002</v>
      </c>
      <c r="Q18" s="1117">
        <f>873</f>
        <v>873</v>
      </c>
      <c r="R18" s="1117">
        <v>3431</v>
      </c>
      <c r="S18" s="1117"/>
      <c r="T18" s="1117">
        <v>36</v>
      </c>
      <c r="U18" s="1117">
        <v>7</v>
      </c>
      <c r="V18" s="1117">
        <v>79</v>
      </c>
      <c r="W18" s="1117">
        <v>1166</v>
      </c>
      <c r="X18" s="1117">
        <v>149</v>
      </c>
      <c r="Y18" s="1126">
        <v>170018</v>
      </c>
      <c r="AC18" s="496">
        <v>2002</v>
      </c>
      <c r="AD18" s="1301">
        <f>Table1[[#This Row],[Electricity]]/Table1[[#This Row],[Gasoline]]</f>
        <v>5.1347504381888979E-3</v>
      </c>
      <c r="AE18" s="1301">
        <f>Table1[[#This Row],[Hydrogen]]/Table1[[#This Row],[Gasoline]]</f>
        <v>4.1172111188227128E-5</v>
      </c>
    </row>
    <row r="19" spans="2:31" x14ac:dyDescent="0.2">
      <c r="B19" s="1161">
        <v>2017</v>
      </c>
      <c r="C19" s="1166">
        <v>1</v>
      </c>
      <c r="D19" s="1158">
        <v>1</v>
      </c>
      <c r="E19" s="1158">
        <v>1</v>
      </c>
      <c r="F19" s="1158">
        <v>1</v>
      </c>
      <c r="G19" s="1158">
        <v>1</v>
      </c>
      <c r="H19" s="1158">
        <v>1</v>
      </c>
      <c r="I19" s="1158">
        <v>1</v>
      </c>
      <c r="J19" s="1306">
        <f>IF(J$7,VLOOKUP(Q33/Y33,$M$9:$N$109,2),1)</f>
        <v>1</v>
      </c>
      <c r="K19" s="1307">
        <f>IF(K$7,VLOOKUP(U33/Y33,$M$9:$N$109,2),1)</f>
        <v>1</v>
      </c>
      <c r="M19" s="1302">
        <f t="shared" si="1"/>
        <v>9.9999999999999992E-2</v>
      </c>
      <c r="N19" s="1287">
        <f t="shared" si="0"/>
        <v>1.5987206823936864E-3</v>
      </c>
      <c r="P19" s="1134">
        <v>2003</v>
      </c>
      <c r="Q19" s="1117">
        <f>830</f>
        <v>830</v>
      </c>
      <c r="R19" s="1117">
        <v>3966</v>
      </c>
      <c r="S19" s="1117"/>
      <c r="T19" s="1117">
        <v>62</v>
      </c>
      <c r="U19" s="1117">
        <v>7</v>
      </c>
      <c r="V19" s="1117">
        <v>142</v>
      </c>
      <c r="W19" s="1117">
        <v>1035</v>
      </c>
      <c r="X19" s="1117">
        <v>188</v>
      </c>
      <c r="Y19" s="1126">
        <v>167571</v>
      </c>
      <c r="AC19" s="496">
        <v>2003</v>
      </c>
      <c r="AD19" s="1301">
        <f>Table1[[#This Row],[Electricity]]/Table1[[#This Row],[Gasoline]]</f>
        <v>4.9531243472915954E-3</v>
      </c>
      <c r="AE19" s="1301">
        <f>Table1[[#This Row],[Hydrogen]]/Table1[[#This Row],[Gasoline]]</f>
        <v>4.1773337868724299E-5</v>
      </c>
    </row>
    <row r="20" spans="2:31" x14ac:dyDescent="0.2">
      <c r="B20" s="1161">
        <v>2018</v>
      </c>
      <c r="C20" s="1166">
        <v>1</v>
      </c>
      <c r="D20" s="1158">
        <v>1</v>
      </c>
      <c r="E20" s="1158">
        <v>1</v>
      </c>
      <c r="F20" s="1158">
        <v>1</v>
      </c>
      <c r="G20" s="1158">
        <v>1</v>
      </c>
      <c r="H20" s="1158">
        <v>1</v>
      </c>
      <c r="I20" s="1158">
        <v>1</v>
      </c>
      <c r="J20" s="1306">
        <f>IF(J$7,VLOOKUP(Q34/Y34,$M$9:$N$109,2),1)</f>
        <v>1</v>
      </c>
      <c r="K20" s="1307">
        <f>IF(K$7,VLOOKUP(U34/Y34,$M$9:$N$109,2),1)</f>
        <v>1</v>
      </c>
      <c r="M20" s="1302">
        <f t="shared" si="1"/>
        <v>0.10999999999999999</v>
      </c>
      <c r="N20" s="1287">
        <f t="shared" si="0"/>
        <v>2.3398183475694901E-3</v>
      </c>
      <c r="P20" s="1134">
        <v>2004</v>
      </c>
      <c r="Q20" s="1117">
        <f>671</f>
        <v>671</v>
      </c>
      <c r="R20" s="1117">
        <v>3689</v>
      </c>
      <c r="S20" s="1118"/>
      <c r="T20" s="1117">
        <v>58</v>
      </c>
      <c r="U20" s="1117">
        <v>9</v>
      </c>
      <c r="V20" s="1117">
        <v>176</v>
      </c>
      <c r="W20" s="1117">
        <v>917</v>
      </c>
      <c r="X20" s="1117">
        <v>200</v>
      </c>
      <c r="Y20" s="1126">
        <v>167346</v>
      </c>
      <c r="AC20" s="496">
        <v>2004</v>
      </c>
      <c r="AD20" s="1301">
        <f>Table1[[#This Row],[Electricity]]/Table1[[#This Row],[Gasoline]]</f>
        <v>4.0096566395372464E-3</v>
      </c>
      <c r="AE20" s="1301">
        <f>Table1[[#This Row],[Hydrogen]]/Table1[[#This Row],[Gasoline]]</f>
        <v>5.378078950198989E-5</v>
      </c>
    </row>
    <row r="21" spans="2:31" x14ac:dyDescent="0.2">
      <c r="B21" s="1161">
        <v>2019</v>
      </c>
      <c r="C21" s="1166">
        <v>1</v>
      </c>
      <c r="D21" s="1158">
        <v>1</v>
      </c>
      <c r="E21" s="1158">
        <v>1</v>
      </c>
      <c r="F21" s="1158">
        <v>1</v>
      </c>
      <c r="G21" s="1158">
        <v>1</v>
      </c>
      <c r="H21" s="1158">
        <v>1</v>
      </c>
      <c r="I21" s="1158">
        <v>1</v>
      </c>
      <c r="J21" s="1306">
        <f>IF(J$7,VLOOKUP(Q35/Y35,$M$9:$N$109,2),1)</f>
        <v>1</v>
      </c>
      <c r="K21" s="1307">
        <f>IF(K$7,VLOOKUP(U35/Y35,$M$9:$N$109,2),1)</f>
        <v>1</v>
      </c>
      <c r="M21" s="1302">
        <f t="shared" si="1"/>
        <v>0.11999999999999998</v>
      </c>
      <c r="N21" s="1287">
        <f t="shared" si="0"/>
        <v>3.3122623159705469E-3</v>
      </c>
      <c r="P21" s="1134">
        <v>2005</v>
      </c>
      <c r="Q21" s="1117">
        <f>588</f>
        <v>588</v>
      </c>
      <c r="R21" s="1117">
        <v>2995</v>
      </c>
      <c r="S21" s="1118"/>
      <c r="T21" s="1117">
        <v>40</v>
      </c>
      <c r="U21" s="1117">
        <v>14</v>
      </c>
      <c r="V21" s="1117">
        <v>304</v>
      </c>
      <c r="W21" s="1117">
        <v>787</v>
      </c>
      <c r="X21" s="1117">
        <v>436</v>
      </c>
      <c r="Y21" s="1126">
        <v>168987</v>
      </c>
      <c r="AC21" s="496">
        <v>2005</v>
      </c>
      <c r="AD21" s="1301">
        <f>Table1[[#This Row],[Electricity]]/Table1[[#This Row],[Gasoline]]</f>
        <v>3.4795575991052566E-3</v>
      </c>
      <c r="AE21" s="1301">
        <f>Table1[[#This Row],[Hydrogen]]/Table1[[#This Row],[Gasoline]]</f>
        <v>8.284660950250611E-5</v>
      </c>
    </row>
    <row r="22" spans="2:31" x14ac:dyDescent="0.2">
      <c r="B22" s="1161">
        <v>2020</v>
      </c>
      <c r="C22" s="1166">
        <v>1</v>
      </c>
      <c r="D22" s="1158">
        <v>1</v>
      </c>
      <c r="E22" s="1158">
        <v>1</v>
      </c>
      <c r="F22" s="1158">
        <v>1</v>
      </c>
      <c r="G22" s="1158">
        <v>1</v>
      </c>
      <c r="H22" s="1158">
        <v>1</v>
      </c>
      <c r="I22" s="1158">
        <v>1</v>
      </c>
      <c r="J22" s="1306">
        <f>IF(J$7,VLOOKUP(Q36/Y36,$M$9:$N$109,2),1)</f>
        <v>1</v>
      </c>
      <c r="K22" s="1307">
        <f>IF(K$7,VLOOKUP(U36/Y36,$M$9:$N$109,2),1)</f>
        <v>1</v>
      </c>
      <c r="M22" s="1302">
        <f t="shared" si="1"/>
        <v>0.12999999999999998</v>
      </c>
      <c r="N22" s="1287">
        <f t="shared" si="0"/>
        <v>4.5593345334435922E-3</v>
      </c>
      <c r="P22" s="1134">
        <v>2006</v>
      </c>
      <c r="Q22" s="1117">
        <f>465</f>
        <v>465</v>
      </c>
      <c r="R22" s="1117">
        <v>2619</v>
      </c>
      <c r="S22" s="1117"/>
      <c r="T22" s="1117">
        <v>37</v>
      </c>
      <c r="U22" s="1117">
        <v>17</v>
      </c>
      <c r="V22" s="1117">
        <v>459</v>
      </c>
      <c r="W22" s="1117">
        <v>732</v>
      </c>
      <c r="X22" s="1117">
        <v>762</v>
      </c>
      <c r="Y22" s="1126">
        <v>167476</v>
      </c>
      <c r="AC22" s="496">
        <v>2006</v>
      </c>
      <c r="AD22" s="1301">
        <f>Table1[[#This Row],[Electricity]]/Table1[[#This Row],[Gasoline]]</f>
        <v>2.7765172323198548E-3</v>
      </c>
      <c r="AE22" s="1301">
        <f>Table1[[#This Row],[Hydrogen]]/Table1[[#This Row],[Gasoline]]</f>
        <v>1.0150708161169362E-4</v>
      </c>
    </row>
    <row r="23" spans="2:31" x14ac:dyDescent="0.2">
      <c r="B23" s="1161">
        <v>2021</v>
      </c>
      <c r="C23" s="1166">
        <v>1</v>
      </c>
      <c r="D23" s="1158">
        <v>1</v>
      </c>
      <c r="E23" s="1158">
        <v>1</v>
      </c>
      <c r="F23" s="1158">
        <v>1</v>
      </c>
      <c r="G23" s="1158">
        <v>1</v>
      </c>
      <c r="H23" s="1158">
        <v>1</v>
      </c>
      <c r="I23" s="1158">
        <v>1</v>
      </c>
      <c r="J23" s="1306">
        <f>IF(J$7,VLOOKUP(Q37/Y37,$M$9:$N$109,2),1)</f>
        <v>1</v>
      </c>
      <c r="K23" s="1307">
        <f>IF(K$7,VLOOKUP(U37/Y37,$M$9:$N$109,2),1)</f>
        <v>1</v>
      </c>
      <c r="M23" s="1302">
        <f t="shared" si="1"/>
        <v>0.13999999999999999</v>
      </c>
      <c r="N23" s="1287">
        <f t="shared" si="0"/>
        <v>6.1277085437277685E-3</v>
      </c>
      <c r="P23" s="1134">
        <v>2007</v>
      </c>
      <c r="Q23" s="1119">
        <f>442</f>
        <v>442</v>
      </c>
      <c r="R23" s="1119">
        <v>2371</v>
      </c>
      <c r="S23" s="1117"/>
      <c r="T23" s="1117">
        <v>35</v>
      </c>
      <c r="U23" s="1117">
        <v>32</v>
      </c>
      <c r="V23" s="1119">
        <v>742</v>
      </c>
      <c r="W23" s="1119">
        <v>721</v>
      </c>
      <c r="X23" s="1119">
        <v>1208</v>
      </c>
      <c r="Y23" s="1126">
        <v>164292</v>
      </c>
      <c r="AC23" s="496">
        <v>2007</v>
      </c>
      <c r="AD23" s="1301">
        <f>Table1[[#This Row],[Electricity]]/Table1[[#This Row],[Gasoline]]</f>
        <v>2.6903318481727658E-3</v>
      </c>
      <c r="AE23" s="1301">
        <f>Table1[[#This Row],[Hydrogen]]/Table1[[#This Row],[Gasoline]]</f>
        <v>1.9477515642879752E-4</v>
      </c>
    </row>
    <row r="24" spans="2:31" x14ac:dyDescent="0.2">
      <c r="B24" s="1161">
        <v>2022</v>
      </c>
      <c r="C24" s="1166">
        <v>1</v>
      </c>
      <c r="D24" s="1158">
        <v>1</v>
      </c>
      <c r="E24" s="1158">
        <v>1</v>
      </c>
      <c r="F24" s="1158">
        <v>1</v>
      </c>
      <c r="G24" s="1158">
        <v>1</v>
      </c>
      <c r="H24" s="1158">
        <v>1</v>
      </c>
      <c r="I24" s="1158">
        <v>1</v>
      </c>
      <c r="J24" s="1306">
        <f>IF(J$7,VLOOKUP(Q38/Y38,$M$9:$N$109,2),1)</f>
        <v>1</v>
      </c>
      <c r="K24" s="1307">
        <f>IF(K$7,VLOOKUP(U38/Y38,$M$9:$N$109,2),1)</f>
        <v>1</v>
      </c>
      <c r="M24" s="1302">
        <f t="shared" si="1"/>
        <v>0.15</v>
      </c>
      <c r="N24" s="1287">
        <f t="shared" si="0"/>
        <v>8.0672833944288314E-3</v>
      </c>
      <c r="P24" s="1134">
        <v>2008</v>
      </c>
      <c r="Q24" s="1119">
        <f>430</f>
        <v>430</v>
      </c>
      <c r="R24" s="1119">
        <v>2175</v>
      </c>
      <c r="S24" s="1117"/>
      <c r="T24" s="1123">
        <v>38</v>
      </c>
      <c r="U24" s="1117">
        <v>46</v>
      </c>
      <c r="V24" s="1119">
        <v>645</v>
      </c>
      <c r="W24" s="1119">
        <v>778</v>
      </c>
      <c r="X24" s="1119">
        <v>1644</v>
      </c>
      <c r="Y24" s="1126">
        <v>161078</v>
      </c>
      <c r="AC24" s="496">
        <v>2008</v>
      </c>
      <c r="AD24" s="1301">
        <f>Table1[[#This Row],[Electricity]]/Table1[[#This Row],[Gasoline]]</f>
        <v>2.6695141484249867E-3</v>
      </c>
      <c r="AE24" s="1301">
        <f>Table1[[#This Row],[Hydrogen]]/Table1[[#This Row],[Gasoline]]</f>
        <v>2.8557593215709158E-4</v>
      </c>
    </row>
    <row r="25" spans="2:31" x14ac:dyDescent="0.2">
      <c r="B25" s="1161">
        <v>2023</v>
      </c>
      <c r="C25" s="1166">
        <v>1</v>
      </c>
      <c r="D25" s="1158">
        <v>1</v>
      </c>
      <c r="E25" s="1158">
        <v>1</v>
      </c>
      <c r="F25" s="1158">
        <v>1</v>
      </c>
      <c r="G25" s="1158">
        <v>1</v>
      </c>
      <c r="H25" s="1158">
        <v>1</v>
      </c>
      <c r="I25" s="1158">
        <v>1</v>
      </c>
      <c r="J25" s="1306">
        <f>IF(J$7,VLOOKUP(Q39/Y39,$M$9:$N$109,2),1)</f>
        <v>1</v>
      </c>
      <c r="K25" s="1307">
        <f>IF(K$7,VLOOKUP(U39/Y39,$M$9:$N$109,2),1)</f>
        <v>1</v>
      </c>
      <c r="M25" s="1302">
        <f t="shared" si="1"/>
        <v>0.16</v>
      </c>
      <c r="N25" s="1287">
        <f t="shared" si="0"/>
        <v>1.0430976069530742E-2</v>
      </c>
      <c r="P25" s="1134">
        <v>2009</v>
      </c>
      <c r="Q25" s="1119">
        <f>465</f>
        <v>465</v>
      </c>
      <c r="R25" s="1119">
        <v>2468</v>
      </c>
      <c r="S25" s="1117"/>
      <c r="T25" s="1123">
        <v>36</v>
      </c>
      <c r="U25" s="1117">
        <v>63</v>
      </c>
      <c r="V25" s="1119">
        <v>679</v>
      </c>
      <c r="W25" s="1119">
        <v>772</v>
      </c>
      <c r="X25" s="1119">
        <v>1928</v>
      </c>
      <c r="Y25" s="1126">
        <v>162350</v>
      </c>
      <c r="AC25" s="496">
        <v>2009</v>
      </c>
      <c r="AD25" s="1301">
        <f>Table1[[#This Row],[Electricity]]/Table1[[#This Row],[Gasoline]]</f>
        <v>2.864182322143517E-3</v>
      </c>
      <c r="AE25" s="1301">
        <f>Table1[[#This Row],[Hydrogen]]/Table1[[#This Row],[Gasoline]]</f>
        <v>3.8805050816137976E-4</v>
      </c>
    </row>
    <row r="26" spans="2:31" x14ac:dyDescent="0.2">
      <c r="B26" s="1161">
        <v>2024</v>
      </c>
      <c r="C26" s="1166">
        <v>1</v>
      </c>
      <c r="D26" s="1158">
        <v>1</v>
      </c>
      <c r="E26" s="1158">
        <v>1</v>
      </c>
      <c r="F26" s="1158">
        <v>1</v>
      </c>
      <c r="G26" s="1158">
        <v>1</v>
      </c>
      <c r="H26" s="1158">
        <v>1</v>
      </c>
      <c r="I26" s="1158">
        <v>1</v>
      </c>
      <c r="J26" s="1306">
        <f>IF(J$7,VLOOKUP(Q40/Y40,$M$9:$N$109,2),1)</f>
        <v>1</v>
      </c>
      <c r="K26" s="1307">
        <f>IF(K$7,VLOOKUP(U40/Y40,$M$9:$N$109,2),1)</f>
        <v>1</v>
      </c>
      <c r="M26" s="1302">
        <f t="shared" si="1"/>
        <v>0.17</v>
      </c>
      <c r="N26" s="1287">
        <f t="shared" si="0"/>
        <v>1.3274466716304363E-2</v>
      </c>
      <c r="P26" s="1134">
        <v>2010</v>
      </c>
      <c r="Q26" s="1119">
        <f>541</f>
        <v>541</v>
      </c>
      <c r="R26" s="1119">
        <v>2647</v>
      </c>
      <c r="S26" s="1117"/>
      <c r="T26" s="1123">
        <v>39</v>
      </c>
      <c r="U26" s="1117">
        <v>58</v>
      </c>
      <c r="V26" s="1119">
        <v>644</v>
      </c>
      <c r="W26" s="1119">
        <v>841</v>
      </c>
      <c r="X26" s="1119">
        <v>2142</v>
      </c>
      <c r="Y26" s="1126">
        <v>159006</v>
      </c>
      <c r="AC26" s="496">
        <v>2010</v>
      </c>
      <c r="AD26" s="1301">
        <f>Table1[[#This Row],[Electricity]]/Table1[[#This Row],[Gasoline]]</f>
        <v>3.4023873312956743E-3</v>
      </c>
      <c r="AE26" s="1301">
        <f>Table1[[#This Row],[Hydrogen]]/Table1[[#This Row],[Gasoline]]</f>
        <v>3.6476610945498911E-4</v>
      </c>
    </row>
    <row r="27" spans="2:31" x14ac:dyDescent="0.2">
      <c r="B27" s="1161">
        <v>2025</v>
      </c>
      <c r="C27" s="1166">
        <v>1</v>
      </c>
      <c r="D27" s="1158">
        <v>1</v>
      </c>
      <c r="E27" s="1158">
        <v>1</v>
      </c>
      <c r="F27" s="1158">
        <v>1</v>
      </c>
      <c r="G27" s="1158">
        <v>1</v>
      </c>
      <c r="H27" s="1158">
        <v>1</v>
      </c>
      <c r="I27" s="1158">
        <v>1</v>
      </c>
      <c r="J27" s="1306">
        <f>IF(J$7,VLOOKUP(Q41/Y41,$M$9:$N$109,2),1)</f>
        <v>1</v>
      </c>
      <c r="K27" s="1307">
        <f>IF(K$7,VLOOKUP(U41/Y41,$M$9:$N$109,2),1)</f>
        <v>1</v>
      </c>
      <c r="M27" s="1302">
        <f t="shared" si="1"/>
        <v>0.18000000000000002</v>
      </c>
      <c r="N27" s="1287">
        <f t="shared" si="0"/>
        <v>1.665589092984994E-2</v>
      </c>
      <c r="P27" s="1134">
        <v>2011</v>
      </c>
      <c r="Q27" s="1120">
        <f>3394/plugs_per_station</f>
        <v>1697</v>
      </c>
      <c r="R27" s="1120">
        <v>2597</v>
      </c>
      <c r="S27" s="1121"/>
      <c r="T27" s="1123">
        <v>45</v>
      </c>
      <c r="U27" s="1117">
        <v>56</v>
      </c>
      <c r="V27" s="1120">
        <v>627</v>
      </c>
      <c r="W27" s="1120">
        <v>910</v>
      </c>
      <c r="X27" s="1120">
        <v>2442</v>
      </c>
      <c r="Y27" s="1126">
        <v>157393</v>
      </c>
      <c r="AC27" s="496">
        <v>2011</v>
      </c>
      <c r="AD27" s="1301">
        <f>Table1[[#This Row],[Electricity]]/Table1[[#This Row],[Gasoline]]</f>
        <v>1.0781928040001779E-2</v>
      </c>
      <c r="AE27" s="1301">
        <f>Table1[[#This Row],[Hydrogen]]/Table1[[#This Row],[Gasoline]]</f>
        <v>3.5579727179734806E-4</v>
      </c>
    </row>
    <row r="28" spans="2:31" x14ac:dyDescent="0.2">
      <c r="B28" s="1161">
        <v>2026</v>
      </c>
      <c r="C28" s="1166">
        <v>1</v>
      </c>
      <c r="D28" s="1158">
        <v>1</v>
      </c>
      <c r="E28" s="1158">
        <v>1</v>
      </c>
      <c r="F28" s="1158">
        <v>1</v>
      </c>
      <c r="G28" s="1158">
        <v>1</v>
      </c>
      <c r="H28" s="1158">
        <v>1</v>
      </c>
      <c r="I28" s="1158">
        <v>1</v>
      </c>
      <c r="J28" s="1306">
        <f>IF(J$7,VLOOKUP(Q42/Y42,$M$9:$N$109,2),1)</f>
        <v>1</v>
      </c>
      <c r="K28" s="1307">
        <f>IF(K$7,VLOOKUP(U42/Y42,$M$9:$N$109,2),1)</f>
        <v>1</v>
      </c>
      <c r="M28" s="1302">
        <f t="shared" si="1"/>
        <v>0.19000000000000003</v>
      </c>
      <c r="N28" s="1287">
        <f t="shared" si="0"/>
        <v>2.063547350575257E-2</v>
      </c>
      <c r="P28" s="1134">
        <v>2012</v>
      </c>
      <c r="Q28" s="1120">
        <f>13392/plugs_per_station</f>
        <v>6696</v>
      </c>
      <c r="R28" s="1120">
        <v>2654</v>
      </c>
      <c r="S28" s="1121"/>
      <c r="T28" s="1123">
        <v>59</v>
      </c>
      <c r="U28" s="1117">
        <v>58</v>
      </c>
      <c r="V28" s="1120">
        <v>675</v>
      </c>
      <c r="W28" s="1120">
        <v>1107</v>
      </c>
      <c r="X28" s="1120">
        <v>2553</v>
      </c>
      <c r="Y28" s="1126">
        <v>156065</v>
      </c>
      <c r="AC28" s="496">
        <v>2012</v>
      </c>
      <c r="AD28" s="1301">
        <f>Table1[[#This Row],[Electricity]]/Table1[[#This Row],[Gasoline]]</f>
        <v>4.2905199756511712E-2</v>
      </c>
      <c r="AE28" s="1301">
        <f>Table1[[#This Row],[Hydrogen]]/Table1[[#This Row],[Gasoline]]</f>
        <v>3.7164002178579437E-4</v>
      </c>
    </row>
    <row r="29" spans="2:31" x14ac:dyDescent="0.2">
      <c r="B29" s="1161">
        <v>2027</v>
      </c>
      <c r="C29" s="1166">
        <v>1</v>
      </c>
      <c r="D29" s="1158">
        <v>1</v>
      </c>
      <c r="E29" s="1158">
        <v>1</v>
      </c>
      <c r="F29" s="1158">
        <v>1</v>
      </c>
      <c r="G29" s="1158">
        <v>1</v>
      </c>
      <c r="H29" s="1158">
        <v>1</v>
      </c>
      <c r="I29" s="1158">
        <v>1</v>
      </c>
      <c r="J29" s="1306">
        <f>IF(J$7,VLOOKUP(Q43/Y43,$M$9:$N$109,2),1)</f>
        <v>1</v>
      </c>
      <c r="K29" s="1307">
        <f>IF(K$7,VLOOKUP(U43/Y43,$M$9:$N$109,2),1)</f>
        <v>1</v>
      </c>
      <c r="M29" s="1302">
        <f t="shared" si="1"/>
        <v>0.20000000000000004</v>
      </c>
      <c r="N29" s="1287">
        <f t="shared" si="0"/>
        <v>2.5275098398206075E-2</v>
      </c>
      <c r="P29" s="1134">
        <v>2013</v>
      </c>
      <c r="Q29" s="1120">
        <f>19410/plugs_per_station</f>
        <v>9705</v>
      </c>
      <c r="R29" s="1120">
        <v>2956</v>
      </c>
      <c r="S29" s="1121"/>
      <c r="T29" s="1123">
        <v>81</v>
      </c>
      <c r="U29" s="1117">
        <v>53</v>
      </c>
      <c r="V29" s="1120">
        <v>757</v>
      </c>
      <c r="W29" s="1120">
        <v>1263</v>
      </c>
      <c r="X29" s="1120">
        <v>2639</v>
      </c>
      <c r="Y29" s="1126">
        <f>Y28</f>
        <v>156065</v>
      </c>
      <c r="Z29" s="496">
        <f>-1976.3*Table1[[#This Row],[Year]]+4130497.79</f>
        <v>152205.89000000013</v>
      </c>
      <c r="AC29" s="496">
        <v>2013</v>
      </c>
      <c r="AD29" s="1301">
        <f>Table1[[#This Row],[Electricity]]/Table1[[#This Row],[Gasoline]]</f>
        <v>6.2185627783295422E-2</v>
      </c>
      <c r="AE29" s="1301">
        <f>Table1[[#This Row],[Hydrogen]]/Table1[[#This Row],[Gasoline]]</f>
        <v>3.3960208887322588E-4</v>
      </c>
    </row>
    <row r="30" spans="2:31" x14ac:dyDescent="0.2">
      <c r="B30" s="1161">
        <v>2028</v>
      </c>
      <c r="C30" s="1166">
        <v>1</v>
      </c>
      <c r="D30" s="1158">
        <v>1</v>
      </c>
      <c r="E30" s="1158">
        <v>1</v>
      </c>
      <c r="F30" s="1158">
        <v>1</v>
      </c>
      <c r="G30" s="1158">
        <v>1</v>
      </c>
      <c r="H30" s="1158">
        <v>1</v>
      </c>
      <c r="I30" s="1158">
        <v>1</v>
      </c>
      <c r="J30" s="1306">
        <f>IF(J$7,VLOOKUP(Q44/Y44,$M$9:$N$109,2),1)</f>
        <v>1</v>
      </c>
      <c r="K30" s="1307">
        <f>IF(K$7,VLOOKUP(U44/Y44,$M$9:$N$109,2),1)</f>
        <v>1</v>
      </c>
      <c r="M30" s="1302">
        <f t="shared" si="1"/>
        <v>0.21000000000000005</v>
      </c>
      <c r="N30" s="1287">
        <f t="shared" si="0"/>
        <v>3.0637810156220375E-2</v>
      </c>
      <c r="P30" s="1134">
        <v>2014</v>
      </c>
      <c r="Q30" s="1120">
        <f>25602/plugs_per_station</f>
        <v>12801</v>
      </c>
      <c r="R30" s="1120">
        <v>2931</v>
      </c>
      <c r="S30" s="1121"/>
      <c r="T30" s="1123">
        <v>103</v>
      </c>
      <c r="U30" s="1117">
        <v>51</v>
      </c>
      <c r="V30" s="1120">
        <v>783</v>
      </c>
      <c r="W30" s="1120">
        <v>1495</v>
      </c>
      <c r="X30" s="1120">
        <v>2840</v>
      </c>
      <c r="Y30" s="1126">
        <f t="shared" ref="Y30:Y66" si="2">Y29</f>
        <v>156065</v>
      </c>
      <c r="Z30" s="496">
        <f>-1976.3*Table1[[#This Row],[Year]]+4130497.79</f>
        <v>150229.59000000032</v>
      </c>
      <c r="AC30" s="496">
        <v>2014</v>
      </c>
      <c r="AD30" s="1301">
        <f>Table1[[#This Row],[Electricity]]/Table1[[#This Row],[Gasoline]]</f>
        <v>8.2023515842757827E-2</v>
      </c>
      <c r="AE30" s="1301">
        <f>Table1[[#This Row],[Hydrogen]]/Table1[[#This Row],[Gasoline]]</f>
        <v>3.2678691570819853E-4</v>
      </c>
    </row>
    <row r="31" spans="2:31" x14ac:dyDescent="0.2">
      <c r="B31" s="1161">
        <v>2029</v>
      </c>
      <c r="C31" s="1166">
        <v>1</v>
      </c>
      <c r="D31" s="1158">
        <v>1</v>
      </c>
      <c r="E31" s="1158">
        <v>1</v>
      </c>
      <c r="F31" s="1158">
        <v>1</v>
      </c>
      <c r="G31" s="1158">
        <v>1</v>
      </c>
      <c r="H31" s="1158">
        <v>1</v>
      </c>
      <c r="I31" s="1158">
        <v>1</v>
      </c>
      <c r="J31" s="1306">
        <f>IF(J$7,VLOOKUP(Q45/Y45,$M$9:$N$109,2),1)</f>
        <v>1</v>
      </c>
      <c r="K31" s="1307">
        <f>IF(K$7,VLOOKUP(U45/Y45,$M$9:$N$109,2),1)</f>
        <v>1</v>
      </c>
      <c r="M31" s="1302">
        <f t="shared" si="1"/>
        <v>0.22000000000000006</v>
      </c>
      <c r="N31" s="1287">
        <f t="shared" si="0"/>
        <v>3.6787242882874376E-2</v>
      </c>
      <c r="P31" s="1134">
        <v>2015</v>
      </c>
      <c r="Q31" s="1124">
        <f>30945/plugs_per_station</f>
        <v>15472.5</v>
      </c>
      <c r="R31" s="1124">
        <v>3594</v>
      </c>
      <c r="S31" s="1121"/>
      <c r="T31" s="1124">
        <v>111</v>
      </c>
      <c r="U31" s="1124">
        <v>45</v>
      </c>
      <c r="V31" s="1124">
        <v>721</v>
      </c>
      <c r="W31" s="1124">
        <v>1563</v>
      </c>
      <c r="X31" s="1124">
        <v>2990</v>
      </c>
      <c r="Y31" s="1126">
        <f t="shared" si="2"/>
        <v>156065</v>
      </c>
      <c r="Z31" s="496">
        <f>-1976.3*Table1[[#This Row],[Year]]+4130497.79</f>
        <v>148253.29000000004</v>
      </c>
      <c r="AC31" s="496">
        <v>2015</v>
      </c>
      <c r="AD31" s="1301">
        <f>Table1[[#This Row],[Electricity]]/Table1[[#This Row],[Gasoline]]</f>
        <v>9.9141383397943164E-2</v>
      </c>
      <c r="AE31" s="1301">
        <f>Table1[[#This Row],[Hydrogen]]/Table1[[#This Row],[Gasoline]]</f>
        <v>2.8834139621311631E-4</v>
      </c>
    </row>
    <row r="32" spans="2:31" x14ac:dyDescent="0.2">
      <c r="B32" s="1161">
        <v>2030</v>
      </c>
      <c r="C32" s="1166">
        <v>1</v>
      </c>
      <c r="D32" s="1158">
        <v>1</v>
      </c>
      <c r="E32" s="1158">
        <v>1</v>
      </c>
      <c r="F32" s="1158">
        <v>1</v>
      </c>
      <c r="G32" s="1158">
        <v>1</v>
      </c>
      <c r="H32" s="1158">
        <v>1</v>
      </c>
      <c r="I32" s="1158">
        <v>1</v>
      </c>
      <c r="J32" s="1306">
        <f>IF(J$7,VLOOKUP(Q46/Y46,$M$9:$N$109,2),1)</f>
        <v>1</v>
      </c>
      <c r="K32" s="1307">
        <f>IF(K$7,VLOOKUP(U46/Y46,$M$9:$N$109,2),1)</f>
        <v>1</v>
      </c>
      <c r="M32" s="1302">
        <f t="shared" si="1"/>
        <v>0.23000000000000007</v>
      </c>
      <c r="N32" s="1287">
        <f t="shared" si="0"/>
        <v>4.3786973799347463E-2</v>
      </c>
      <c r="P32" s="1134">
        <v>2016</v>
      </c>
      <c r="Q32" s="1124">
        <f>42029/plugs_per_station</f>
        <v>21014.5</v>
      </c>
      <c r="R32" s="1124">
        <v>3665</v>
      </c>
      <c r="S32" s="1121"/>
      <c r="T32" s="1124">
        <v>140</v>
      </c>
      <c r="U32" s="1124">
        <v>54</v>
      </c>
      <c r="V32" s="1124">
        <v>697</v>
      </c>
      <c r="W32" s="1124">
        <v>1725</v>
      </c>
      <c r="X32" s="1124">
        <v>3090</v>
      </c>
      <c r="Y32" s="1126">
        <f t="shared" si="2"/>
        <v>156065</v>
      </c>
      <c r="Z32" s="496">
        <f>-1976.3*Table1[[#This Row],[Year]]+4130497.79</f>
        <v>146276.99000000022</v>
      </c>
      <c r="AC32" s="496">
        <v>2016</v>
      </c>
      <c r="AD32" s="1301">
        <f>Table1[[#This Row],[Electricity]]/Table1[[#This Row],[Gasoline]]</f>
        <v>0.13465222823823406</v>
      </c>
      <c r="AE32" s="1301">
        <f>Table1[[#This Row],[Hydrogen]]/Table1[[#This Row],[Gasoline]]</f>
        <v>3.4600967545573961E-4</v>
      </c>
    </row>
    <row r="33" spans="2:32" x14ac:dyDescent="0.2">
      <c r="B33" s="1161">
        <v>2031</v>
      </c>
      <c r="C33" s="1166">
        <v>1</v>
      </c>
      <c r="D33" s="1158">
        <v>1</v>
      </c>
      <c r="E33" s="1158">
        <v>1</v>
      </c>
      <c r="F33" s="1158">
        <v>1</v>
      </c>
      <c r="G33" s="1158">
        <v>1</v>
      </c>
      <c r="H33" s="1158">
        <v>1</v>
      </c>
      <c r="I33" s="1158">
        <v>1</v>
      </c>
      <c r="J33" s="1306">
        <f>IF(J$7,VLOOKUP(Q47/Y47,$M$9:$N$109,2),1)</f>
        <v>1</v>
      </c>
      <c r="K33" s="1307">
        <f>IF(K$7,VLOOKUP(U47/Y47,$M$9:$N$109,2),1)</f>
        <v>1</v>
      </c>
      <c r="M33" s="1302">
        <f t="shared" si="1"/>
        <v>0.24000000000000007</v>
      </c>
      <c r="N33" s="1287">
        <f t="shared" si="0"/>
        <v>5.1699799821003561E-2</v>
      </c>
      <c r="P33" s="1134">
        <v>2017</v>
      </c>
      <c r="Q33" s="1122">
        <f>50627/plugs_per_station</f>
        <v>25313.5</v>
      </c>
      <c r="R33" s="538"/>
      <c r="S33" s="538"/>
      <c r="T33" s="538"/>
      <c r="U33" s="1122">
        <v>63</v>
      </c>
      <c r="V33" s="538"/>
      <c r="W33" s="538"/>
      <c r="X33" s="538"/>
      <c r="Y33" s="1126">
        <f t="shared" si="2"/>
        <v>156065</v>
      </c>
      <c r="Z33" s="496">
        <f>-1976.3*Table1[[#This Row],[Year]]+4130497.79</f>
        <v>144300.68999999994</v>
      </c>
      <c r="AC33" s="496">
        <v>2017</v>
      </c>
      <c r="AD33" s="1301">
        <f>Table1[[#This Row],[Electricity]]/Table1[[#This Row],[Gasoline]]</f>
        <v>0.16219844295646044</v>
      </c>
      <c r="AE33" s="1301">
        <f>Table1[[#This Row],[Hydrogen]]/Table1[[#This Row],[Gasoline]]</f>
        <v>4.0367795469836286E-4</v>
      </c>
    </row>
    <row r="34" spans="2:32" x14ac:dyDescent="0.2">
      <c r="B34" s="1161">
        <v>2032</v>
      </c>
      <c r="C34" s="1166">
        <v>1</v>
      </c>
      <c r="D34" s="1158">
        <v>1</v>
      </c>
      <c r="E34" s="1158">
        <v>1</v>
      </c>
      <c r="F34" s="1158">
        <v>1</v>
      </c>
      <c r="G34" s="1158">
        <v>1</v>
      </c>
      <c r="H34" s="1158">
        <v>1</v>
      </c>
      <c r="I34" s="1158">
        <v>1</v>
      </c>
      <c r="J34" s="1306">
        <f>IF(J$7,VLOOKUP(Q48/Y48,$M$9:$N$109,2),1)</f>
        <v>1</v>
      </c>
      <c r="K34" s="1307">
        <f>IF(K$7,VLOOKUP(U48/Y48,$M$9:$N$109,2),1)</f>
        <v>1</v>
      </c>
      <c r="M34" s="1302">
        <f t="shared" si="1"/>
        <v>0.25000000000000006</v>
      </c>
      <c r="N34" s="1287">
        <f t="shared" si="0"/>
        <v>6.0586937186524262E-2</v>
      </c>
      <c r="P34" s="1134">
        <v>2018</v>
      </c>
      <c r="Q34" s="1122">
        <f>61067/plugs_per_station</f>
        <v>30533.5</v>
      </c>
      <c r="R34" s="538"/>
      <c r="S34" s="538"/>
      <c r="T34" s="538"/>
      <c r="U34" s="1122">
        <v>41</v>
      </c>
      <c r="V34" s="538"/>
      <c r="W34" s="538"/>
      <c r="X34" s="538"/>
      <c r="Y34" s="1126">
        <f t="shared" si="2"/>
        <v>156065</v>
      </c>
      <c r="Z34" s="496">
        <f>-1976.3*Table1[[#This Row],[Year]]+4130497.79</f>
        <v>142324.39000000013</v>
      </c>
      <c r="AC34" s="496">
        <v>2018</v>
      </c>
      <c r="AD34" s="1301">
        <f>Table1[[#This Row],[Electricity]]/Table1[[#This Row],[Gasoline]]</f>
        <v>0.19564604491718193</v>
      </c>
      <c r="AE34" s="1301">
        <f>Table1[[#This Row],[Hydrogen]]/Table1[[#This Row],[Gasoline]]</f>
        <v>2.6271104988306155E-4</v>
      </c>
    </row>
    <row r="35" spans="2:32" x14ac:dyDescent="0.2">
      <c r="B35" s="1161">
        <v>2033</v>
      </c>
      <c r="C35" s="1166">
        <v>1</v>
      </c>
      <c r="D35" s="1158">
        <v>1</v>
      </c>
      <c r="E35" s="1158">
        <v>1</v>
      </c>
      <c r="F35" s="1158">
        <v>1</v>
      </c>
      <c r="G35" s="1158">
        <v>1</v>
      </c>
      <c r="H35" s="1158">
        <v>1</v>
      </c>
      <c r="I35" s="1158">
        <v>1</v>
      </c>
      <c r="J35" s="1306">
        <f>IF(J$7,VLOOKUP(Q49/Y49,$M$9:$N$109,2),1)</f>
        <v>1</v>
      </c>
      <c r="K35" s="1307">
        <f>IF(K$7,VLOOKUP(U49/Y49,$M$9:$N$109,2),1)</f>
        <v>1</v>
      </c>
      <c r="M35" s="1302">
        <f t="shared" si="1"/>
        <v>0.26000000000000006</v>
      </c>
      <c r="N35" s="1287">
        <f t="shared" si="0"/>
        <v>7.0507146135246307E-2</v>
      </c>
      <c r="P35" s="1134">
        <v>2019</v>
      </c>
      <c r="Q35" s="1122">
        <f>$R$109+P35*$R$110</f>
        <v>32521.333333333954</v>
      </c>
      <c r="R35" s="538"/>
      <c r="S35" s="538"/>
      <c r="T35" s="538"/>
      <c r="U35" s="1122">
        <v>57</v>
      </c>
      <c r="V35" s="538"/>
      <c r="W35" s="538"/>
      <c r="X35" s="538"/>
      <c r="Y35" s="1126">
        <f t="shared" si="2"/>
        <v>156065</v>
      </c>
      <c r="Z35" s="496">
        <f>-1976.3*Table1[[#This Row],[Year]]+4130497.79</f>
        <v>140348.09000000032</v>
      </c>
      <c r="AC35" s="496">
        <v>2019</v>
      </c>
      <c r="AD35" s="1301">
        <f>Table1[[#This Row],[Electricity]]/Table1[[#This Row],[Gasoline]]</f>
        <v>0.20838325911212607</v>
      </c>
      <c r="AE35" s="1301">
        <f>Table1[[#This Row],[Hydrogen]]/Table1[[#This Row],[Gasoline]]</f>
        <v>3.652324352032807E-4</v>
      </c>
    </row>
    <row r="36" spans="2:32" x14ac:dyDescent="0.2">
      <c r="B36" s="1161">
        <v>2034</v>
      </c>
      <c r="C36" s="1166">
        <v>1</v>
      </c>
      <c r="D36" s="1158">
        <v>1</v>
      </c>
      <c r="E36" s="1158">
        <v>1</v>
      </c>
      <c r="F36" s="1158">
        <v>1</v>
      </c>
      <c r="G36" s="1158">
        <v>1</v>
      </c>
      <c r="H36" s="1158">
        <v>1</v>
      </c>
      <c r="I36" s="1158">
        <v>1</v>
      </c>
      <c r="J36" s="1306">
        <f>IF(J$7,VLOOKUP(Q50/Y50,$M$9:$N$109,2),1)</f>
        <v>1</v>
      </c>
      <c r="K36" s="1307">
        <f>IF(K$7,VLOOKUP(U50/Y50,$M$9:$N$109,2),1)</f>
        <v>1</v>
      </c>
      <c r="M36" s="1302">
        <f t="shared" si="1"/>
        <v>0.27000000000000007</v>
      </c>
      <c r="N36" s="1287">
        <f t="shared" si="0"/>
        <v>8.1515784905052846E-2</v>
      </c>
      <c r="P36" s="1134">
        <v>2020</v>
      </c>
      <c r="Q36" s="1122">
        <f t="shared" ref="Q36:Q66" si="3">$R$109+P36*$R$110</f>
        <v>36275.06666666735</v>
      </c>
      <c r="R36" s="773"/>
      <c r="S36" s="773"/>
      <c r="T36" s="773"/>
      <c r="U36" s="1122">
        <v>75</v>
      </c>
      <c r="V36" s="773"/>
      <c r="W36" s="773"/>
      <c r="X36" s="773"/>
      <c r="Y36" s="1126">
        <f t="shared" si="2"/>
        <v>156065</v>
      </c>
      <c r="Z36" s="498">
        <f>-1976.3*Table1[[#This Row],[Year]]+4130497.79</f>
        <v>138371.79000000004</v>
      </c>
      <c r="AA36" s="498"/>
      <c r="AB36" s="498"/>
      <c r="AC36" s="498">
        <v>2020</v>
      </c>
      <c r="AD36" s="1301">
        <f>Table1[[#This Row],[Electricity]]/Table1[[#This Row],[Gasoline]]</f>
        <v>0.23243563045312754</v>
      </c>
      <c r="AE36" s="1301">
        <f>Table1[[#This Row],[Hydrogen]]/Table1[[#This Row],[Gasoline]]</f>
        <v>4.805689936885272E-4</v>
      </c>
      <c r="AF36" s="498"/>
    </row>
    <row r="37" spans="2:32" x14ac:dyDescent="0.2">
      <c r="B37" s="1161">
        <v>2035</v>
      </c>
      <c r="C37" s="1166">
        <v>1</v>
      </c>
      <c r="D37" s="1158">
        <v>1</v>
      </c>
      <c r="E37" s="1158">
        <v>1</v>
      </c>
      <c r="F37" s="1158">
        <v>1</v>
      </c>
      <c r="G37" s="1158">
        <v>1</v>
      </c>
      <c r="H37" s="1158">
        <v>1</v>
      </c>
      <c r="I37" s="1158">
        <v>1</v>
      </c>
      <c r="J37" s="1306">
        <f>IF(J$7,VLOOKUP(Q51/Y51,$M$9:$N$109,2),1)</f>
        <v>1</v>
      </c>
      <c r="K37" s="1307">
        <f>IF(K$7,VLOOKUP(U51/Y51,$M$9:$N$109,2),1)</f>
        <v>1</v>
      </c>
      <c r="M37" s="1302">
        <f t="shared" si="1"/>
        <v>0.28000000000000008</v>
      </c>
      <c r="N37" s="1287">
        <f t="shared" si="0"/>
        <v>9.3663799913688631E-2</v>
      </c>
      <c r="P37" s="1134">
        <v>2021</v>
      </c>
      <c r="Q37" s="1122">
        <f t="shared" si="3"/>
        <v>40028.800000000745</v>
      </c>
      <c r="R37" s="538"/>
      <c r="S37" s="538"/>
      <c r="T37" s="538"/>
      <c r="U37" s="1122">
        <v>111</v>
      </c>
      <c r="V37" s="538"/>
      <c r="W37" s="538"/>
      <c r="X37" s="538"/>
      <c r="Y37" s="1126">
        <f t="shared" si="2"/>
        <v>156065</v>
      </c>
      <c r="Z37" s="496">
        <f>-1976.3*Table1[[#This Row],[Year]]+4130497.79</f>
        <v>136395.49000000022</v>
      </c>
      <c r="AC37" s="496">
        <v>2021</v>
      </c>
      <c r="AD37" s="1301">
        <f>Table1[[#This Row],[Electricity]]/Table1[[#This Row],[Gasoline]]</f>
        <v>0.25648800179412901</v>
      </c>
      <c r="AE37" s="1301">
        <f>Table1[[#This Row],[Hydrogen]]/Table1[[#This Row],[Gasoline]]</f>
        <v>7.1124211065902031E-4</v>
      </c>
    </row>
    <row r="38" spans="2:32" x14ac:dyDescent="0.2">
      <c r="B38" s="1161">
        <v>2036</v>
      </c>
      <c r="C38" s="1166">
        <v>1</v>
      </c>
      <c r="D38" s="1158">
        <v>1</v>
      </c>
      <c r="E38" s="1158">
        <v>1</v>
      </c>
      <c r="F38" s="1158">
        <v>1</v>
      </c>
      <c r="G38" s="1158">
        <v>1</v>
      </c>
      <c r="H38" s="1158">
        <v>1</v>
      </c>
      <c r="I38" s="1158">
        <v>1</v>
      </c>
      <c r="J38" s="1306">
        <f>IF(J$7,VLOOKUP(Q52/Y52,$M$9:$N$109,2),1)</f>
        <v>1</v>
      </c>
      <c r="K38" s="1307">
        <f>IF(K$7,VLOOKUP(U52/Y52,$M$9:$N$109,2),1)</f>
        <v>1</v>
      </c>
      <c r="M38" s="1302">
        <f t="shared" si="1"/>
        <v>0.29000000000000009</v>
      </c>
      <c r="N38" s="1287">
        <f t="shared" si="0"/>
        <v>0.10699666186542625</v>
      </c>
      <c r="P38" s="1134">
        <v>2022</v>
      </c>
      <c r="Q38" s="1122">
        <f t="shared" si="3"/>
        <v>43782.53333333414</v>
      </c>
      <c r="R38" s="538"/>
      <c r="S38" s="538"/>
      <c r="T38" s="538"/>
      <c r="U38" s="1122">
        <v>161</v>
      </c>
      <c r="V38" s="538"/>
      <c r="W38" s="538"/>
      <c r="X38" s="538"/>
      <c r="Y38" s="1126">
        <f t="shared" si="2"/>
        <v>156065</v>
      </c>
      <c r="Z38" s="496">
        <f>-1976.3*Table1[[#This Row],[Year]]+4130497.79</f>
        <v>134419.18999999994</v>
      </c>
      <c r="AC38" s="496">
        <v>2022</v>
      </c>
      <c r="AD38" s="1301">
        <f>Table1[[#This Row],[Electricity]]/Table1[[#This Row],[Gasoline]]</f>
        <v>0.28054037313513047</v>
      </c>
      <c r="AE38" s="1301">
        <f>Table1[[#This Row],[Hydrogen]]/Table1[[#This Row],[Gasoline]]</f>
        <v>1.0316214397847051E-3</v>
      </c>
    </row>
    <row r="39" spans="2:32" x14ac:dyDescent="0.2">
      <c r="B39" s="1161">
        <v>2037</v>
      </c>
      <c r="C39" s="1166">
        <v>1</v>
      </c>
      <c r="D39" s="1158">
        <v>1</v>
      </c>
      <c r="E39" s="1158">
        <v>1</v>
      </c>
      <c r="F39" s="1158">
        <v>1</v>
      </c>
      <c r="G39" s="1158">
        <v>1</v>
      </c>
      <c r="H39" s="1158">
        <v>1</v>
      </c>
      <c r="I39" s="1158">
        <v>1</v>
      </c>
      <c r="J39" s="1306">
        <f>IF(J$7,VLOOKUP(Q53/Y53,$M$9:$N$109,2),1)</f>
        <v>1</v>
      </c>
      <c r="K39" s="1307">
        <f>IF(K$7,VLOOKUP(U53/Y53,$M$9:$N$109,2),1)</f>
        <v>1</v>
      </c>
      <c r="M39" s="1302">
        <f t="shared" si="1"/>
        <v>0.3000000000000001</v>
      </c>
      <c r="N39" s="1287">
        <f t="shared" si="0"/>
        <v>0.12155326065006883</v>
      </c>
      <c r="P39" s="1134">
        <v>2023</v>
      </c>
      <c r="Q39" s="1122">
        <f t="shared" si="3"/>
        <v>47536.266666667536</v>
      </c>
      <c r="R39" s="538"/>
      <c r="S39" s="538"/>
      <c r="T39" s="538"/>
      <c r="U39" s="1122">
        <v>246</v>
      </c>
      <c r="V39" s="538"/>
      <c r="W39" s="538"/>
      <c r="X39" s="538"/>
      <c r="Y39" s="1126">
        <f t="shared" si="2"/>
        <v>156065</v>
      </c>
      <c r="Z39" s="496">
        <f>-1976.3*Table1[[#This Row],[Year]]+4130497.79</f>
        <v>132442.89000000013</v>
      </c>
      <c r="AC39" s="496">
        <v>2023</v>
      </c>
      <c r="AD39" s="1301">
        <f>Table1[[#This Row],[Electricity]]/Table1[[#This Row],[Gasoline]]</f>
        <v>0.30459274447613199</v>
      </c>
      <c r="AE39" s="1301">
        <f>Table1[[#This Row],[Hydrogen]]/Table1[[#This Row],[Gasoline]]</f>
        <v>1.5762662992983693E-3</v>
      </c>
    </row>
    <row r="40" spans="2:32" x14ac:dyDescent="0.2">
      <c r="B40" s="1161">
        <v>2038</v>
      </c>
      <c r="C40" s="1166">
        <v>1</v>
      </c>
      <c r="D40" s="1158">
        <v>1</v>
      </c>
      <c r="E40" s="1158">
        <v>1</v>
      </c>
      <c r="F40" s="1158">
        <v>1</v>
      </c>
      <c r="G40" s="1158">
        <v>1</v>
      </c>
      <c r="H40" s="1158">
        <v>1</v>
      </c>
      <c r="I40" s="1158">
        <v>1</v>
      </c>
      <c r="J40" s="1306">
        <f>IF(J$7,VLOOKUP(Q54/Y54,$M$9:$N$109,2),1)</f>
        <v>1</v>
      </c>
      <c r="K40" s="1307">
        <f>IF(K$7,VLOOKUP(U54/Y54,$M$9:$N$109,2),1)</f>
        <v>1</v>
      </c>
      <c r="M40" s="1302">
        <f t="shared" si="1"/>
        <v>0.31000000000000011</v>
      </c>
      <c r="N40" s="1287">
        <f t="shared" si="0"/>
        <v>0.13736477520959006</v>
      </c>
      <c r="P40" s="1134">
        <v>2024</v>
      </c>
      <c r="Q40" s="1122">
        <f t="shared" si="3"/>
        <v>51290.000000000931</v>
      </c>
      <c r="R40" s="538"/>
      <c r="S40" s="538"/>
      <c r="T40" s="538"/>
      <c r="U40" s="1122">
        <v>967</v>
      </c>
      <c r="V40" s="538"/>
      <c r="W40" s="538"/>
      <c r="X40" s="538"/>
      <c r="Y40" s="1126">
        <f t="shared" si="2"/>
        <v>156065</v>
      </c>
      <c r="Z40" s="496">
        <f>-1976.3*Table1[[#This Row],[Year]]+4130497.79</f>
        <v>130466.59000000032</v>
      </c>
      <c r="AC40" s="496">
        <v>2024</v>
      </c>
      <c r="AD40" s="1301">
        <f>Table1[[#This Row],[Electricity]]/Table1[[#This Row],[Gasoline]]</f>
        <v>0.32864511581713346</v>
      </c>
      <c r="AE40" s="1301">
        <f>Table1[[#This Row],[Hydrogen]]/Table1[[#This Row],[Gasoline]]</f>
        <v>6.1961362252907441E-3</v>
      </c>
    </row>
    <row r="41" spans="2:32" x14ac:dyDescent="0.2">
      <c r="B41" s="1161">
        <v>2039</v>
      </c>
      <c r="C41" s="1166">
        <v>1</v>
      </c>
      <c r="D41" s="1158">
        <v>1</v>
      </c>
      <c r="E41" s="1158">
        <v>1</v>
      </c>
      <c r="F41" s="1158">
        <v>1</v>
      </c>
      <c r="G41" s="1158">
        <v>1</v>
      </c>
      <c r="H41" s="1158">
        <v>1</v>
      </c>
      <c r="I41" s="1158">
        <v>1</v>
      </c>
      <c r="J41" s="1306">
        <f>IF(J$7,VLOOKUP(Q55/Y55,$M$9:$N$109,2),1)</f>
        <v>1</v>
      </c>
      <c r="K41" s="1307">
        <f>IF(K$7,VLOOKUP(U55/Y55,$M$9:$N$109,2),1)</f>
        <v>1</v>
      </c>
      <c r="M41" s="1302">
        <f t="shared" si="1"/>
        <v>0.32000000000000012</v>
      </c>
      <c r="N41" s="1287">
        <f t="shared" ref="N41:N59" si="4">WEIBULL(M41,$N$4,$N$5,$N$6)</f>
        <v>0.15445353795437128</v>
      </c>
      <c r="P41" s="1134">
        <v>2025</v>
      </c>
      <c r="Q41" s="1122">
        <f t="shared" si="3"/>
        <v>55043.733333334327</v>
      </c>
      <c r="R41" s="538"/>
      <c r="S41" s="538"/>
      <c r="T41" s="538"/>
      <c r="U41" s="1122">
        <v>1975</v>
      </c>
      <c r="V41" s="538"/>
      <c r="W41" s="538"/>
      <c r="X41" s="538"/>
      <c r="Y41" s="1126">
        <f t="shared" si="2"/>
        <v>156065</v>
      </c>
      <c r="Z41" s="496">
        <f>-1976.3*Table1[[#This Row],[Year]]+4130497.79</f>
        <v>128490.29000000004</v>
      </c>
      <c r="AC41" s="496">
        <v>2025</v>
      </c>
      <c r="AD41" s="1301">
        <f>Table1[[#This Row],[Electricity]]/Table1[[#This Row],[Gasoline]]</f>
        <v>0.35269748715813493</v>
      </c>
      <c r="AE41" s="1301">
        <f>Table1[[#This Row],[Hydrogen]]/Table1[[#This Row],[Gasoline]]</f>
        <v>1.265498350046455E-2</v>
      </c>
    </row>
    <row r="42" spans="2:32" x14ac:dyDescent="0.2">
      <c r="B42" s="1161">
        <v>2040</v>
      </c>
      <c r="C42" s="1166">
        <v>1</v>
      </c>
      <c r="D42" s="1158">
        <v>1</v>
      </c>
      <c r="E42" s="1158">
        <v>1</v>
      </c>
      <c r="F42" s="1158">
        <v>1</v>
      </c>
      <c r="G42" s="1158">
        <v>1</v>
      </c>
      <c r="H42" s="1158">
        <v>1</v>
      </c>
      <c r="I42" s="1158">
        <v>1</v>
      </c>
      <c r="J42" s="1306">
        <f>IF(J$7,VLOOKUP(Q56/Y56,$M$9:$N$109,2),1)</f>
        <v>1</v>
      </c>
      <c r="K42" s="1307">
        <f>IF(K$7,VLOOKUP(U56/Y56,$M$9:$N$109,2),1)</f>
        <v>1</v>
      </c>
      <c r="M42" s="1302">
        <f t="shared" si="1"/>
        <v>0.33000000000000013</v>
      </c>
      <c r="N42" s="1287">
        <f t="shared" si="4"/>
        <v>0.17283191670766812</v>
      </c>
      <c r="P42" s="1134">
        <v>2026</v>
      </c>
      <c r="Q42" s="1122">
        <f t="shared" si="3"/>
        <v>58797.466666666791</v>
      </c>
      <c r="R42" s="538"/>
      <c r="S42" s="538"/>
      <c r="T42" s="538"/>
      <c r="U42" s="1122">
        <v>3242.3900000000003</v>
      </c>
      <c r="V42" s="538"/>
      <c r="W42" s="538"/>
      <c r="X42" s="538"/>
      <c r="Y42" s="1126">
        <f t="shared" si="2"/>
        <v>156065</v>
      </c>
      <c r="Z42" s="496">
        <f>-1976.3*Table1[[#This Row],[Year]]+4130497.79</f>
        <v>126513.99000000022</v>
      </c>
      <c r="AC42" s="496">
        <v>2026</v>
      </c>
      <c r="AD42" s="1301">
        <f>Table1[[#This Row],[Electricity]]/Table1[[#This Row],[Gasoline]]</f>
        <v>0.37674985849913045</v>
      </c>
      <c r="AE42" s="1301">
        <f>Table1[[#This Row],[Hydrogen]]/Table1[[#This Row],[Gasoline]]</f>
        <v>2.0775894659276584E-2</v>
      </c>
    </row>
    <row r="43" spans="2:32" x14ac:dyDescent="0.2">
      <c r="B43" s="1161">
        <v>2041</v>
      </c>
      <c r="C43" s="1166">
        <v>1</v>
      </c>
      <c r="D43" s="1158">
        <v>1</v>
      </c>
      <c r="E43" s="1158">
        <v>1</v>
      </c>
      <c r="F43" s="1158">
        <v>1</v>
      </c>
      <c r="G43" s="1158">
        <v>1</v>
      </c>
      <c r="H43" s="1158">
        <v>1</v>
      </c>
      <c r="I43" s="1158">
        <v>1</v>
      </c>
      <c r="J43" s="1306">
        <f>IF(J$7,VLOOKUP(Q57/Y57,$M$9:$N$109,2),1)</f>
        <v>1</v>
      </c>
      <c r="K43" s="1307">
        <f>IF(K$7,VLOOKUP(U57/Y57,$M$9:$N$109,2),1)</f>
        <v>1</v>
      </c>
      <c r="M43" s="1302">
        <f t="shared" si="1"/>
        <v>0.34000000000000014</v>
      </c>
      <c r="N43" s="1287">
        <f t="shared" si="4"/>
        <v>0.19250124041164726</v>
      </c>
      <c r="P43" s="1134">
        <v>2027</v>
      </c>
      <c r="Q43" s="1122">
        <f t="shared" si="3"/>
        <v>62551.200000000186</v>
      </c>
      <c r="R43" s="538"/>
      <c r="S43" s="538"/>
      <c r="T43" s="538"/>
      <c r="U43" s="1122">
        <v>4626.9699999999993</v>
      </c>
      <c r="V43" s="538"/>
      <c r="W43" s="538"/>
      <c r="X43" s="538"/>
      <c r="Y43" s="1126">
        <f t="shared" si="2"/>
        <v>156065</v>
      </c>
      <c r="Z43" s="496">
        <f>-1976.3*Table1[[#This Row],[Year]]+4130497.79</f>
        <v>124537.68999999994</v>
      </c>
      <c r="AC43" s="496">
        <v>2027</v>
      </c>
      <c r="AD43" s="1301">
        <f>Table1[[#This Row],[Electricity]]/Table1[[#This Row],[Gasoline]]</f>
        <v>0.40080222984013192</v>
      </c>
      <c r="AE43" s="1301">
        <f>Table1[[#This Row],[Hydrogen]]/Table1[[#This Row],[Gasoline]]</f>
        <v>2.9647710889693393E-2</v>
      </c>
    </row>
    <row r="44" spans="2:32" x14ac:dyDescent="0.2">
      <c r="B44" s="1161">
        <v>2042</v>
      </c>
      <c r="C44" s="1166">
        <v>1</v>
      </c>
      <c r="D44" s="1158">
        <v>1</v>
      </c>
      <c r="E44" s="1158">
        <v>1</v>
      </c>
      <c r="F44" s="1158">
        <v>1</v>
      </c>
      <c r="G44" s="1158">
        <v>1</v>
      </c>
      <c r="H44" s="1158">
        <v>1</v>
      </c>
      <c r="I44" s="1158">
        <v>1</v>
      </c>
      <c r="J44" s="1306">
        <f>IF(J$7,VLOOKUP(Q58/Y58,$M$9:$N$109,2),1)</f>
        <v>1</v>
      </c>
      <c r="K44" s="1307">
        <f>IF(K$7,VLOOKUP(U58/Y58,$M$9:$N$109,2),1)</f>
        <v>1</v>
      </c>
      <c r="M44" s="1302">
        <f t="shared" si="1"/>
        <v>0.35000000000000014</v>
      </c>
      <c r="N44" s="1287">
        <f t="shared" si="4"/>
        <v>0.21345079778654535</v>
      </c>
      <c r="P44" s="1134">
        <v>2028</v>
      </c>
      <c r="Q44" s="1122">
        <f t="shared" si="3"/>
        <v>66304.933333333582</v>
      </c>
      <c r="R44" s="538"/>
      <c r="S44" s="538"/>
      <c r="T44" s="538"/>
      <c r="U44" s="1122">
        <v>6873.7499999999991</v>
      </c>
      <c r="V44" s="538"/>
      <c r="W44" s="538"/>
      <c r="X44" s="538"/>
      <c r="Y44" s="1126">
        <f t="shared" si="2"/>
        <v>156065</v>
      </c>
      <c r="Z44" s="496">
        <f>-1976.3*Table1[[#This Row],[Year]]+4130497.79</f>
        <v>122561.39000000013</v>
      </c>
      <c r="AC44" s="496">
        <v>2028</v>
      </c>
      <c r="AD44" s="1301">
        <f>Table1[[#This Row],[Electricity]]/Table1[[#This Row],[Gasoline]]</f>
        <v>0.42485460118113338</v>
      </c>
      <c r="AE44" s="1301">
        <f>Table1[[#This Row],[Hydrogen]]/Table1[[#This Row],[Gasoline]]</f>
        <v>4.4044148271553514E-2</v>
      </c>
    </row>
    <row r="45" spans="2:32" x14ac:dyDescent="0.2">
      <c r="B45" s="1161">
        <v>2043</v>
      </c>
      <c r="C45" s="1166">
        <v>1</v>
      </c>
      <c r="D45" s="1158">
        <v>1</v>
      </c>
      <c r="E45" s="1158">
        <v>1</v>
      </c>
      <c r="F45" s="1158">
        <v>1</v>
      </c>
      <c r="G45" s="1158">
        <v>1</v>
      </c>
      <c r="H45" s="1158">
        <v>1</v>
      </c>
      <c r="I45" s="1158">
        <v>1</v>
      </c>
      <c r="J45" s="1306">
        <f>IF(J$7,VLOOKUP(Q59/Y59,$M$9:$N$109,2),1)</f>
        <v>1</v>
      </c>
      <c r="K45" s="1307">
        <f>IF(K$7,VLOOKUP(U59/Y59,$M$9:$N$109,2),1)</f>
        <v>1</v>
      </c>
      <c r="M45" s="1302">
        <f t="shared" si="1"/>
        <v>0.36000000000000015</v>
      </c>
      <c r="N45" s="1287">
        <f t="shared" si="4"/>
        <v>0.23565694062183914</v>
      </c>
      <c r="P45" s="1134">
        <v>2029</v>
      </c>
      <c r="Q45" s="1122">
        <f t="shared" si="3"/>
        <v>70058.666666666977</v>
      </c>
      <c r="R45" s="538"/>
      <c r="S45" s="538"/>
      <c r="T45" s="538"/>
      <c r="U45" s="1122">
        <v>8874.9</v>
      </c>
      <c r="V45" s="538"/>
      <c r="W45" s="538"/>
      <c r="X45" s="538"/>
      <c r="Y45" s="1126">
        <f t="shared" si="2"/>
        <v>156065</v>
      </c>
      <c r="Z45" s="496">
        <f>-1976.3*Table1[[#This Row],[Year]]+4130497.79</f>
        <v>120585.09000000032</v>
      </c>
      <c r="AC45" s="496">
        <v>2029</v>
      </c>
      <c r="AD45" s="1301">
        <f>Table1[[#This Row],[Electricity]]/Table1[[#This Row],[Gasoline]]</f>
        <v>0.44890697252213485</v>
      </c>
      <c r="AE45" s="1301">
        <f>Table1[[#This Row],[Hydrogen]]/Table1[[#This Row],[Gasoline]]</f>
        <v>5.6866690161150799E-2</v>
      </c>
    </row>
    <row r="46" spans="2:32" x14ac:dyDescent="0.2">
      <c r="B46" s="1161">
        <v>2044</v>
      </c>
      <c r="C46" s="1166">
        <v>1</v>
      </c>
      <c r="D46" s="1158">
        <v>1</v>
      </c>
      <c r="E46" s="1158">
        <v>1</v>
      </c>
      <c r="F46" s="1158">
        <v>1</v>
      </c>
      <c r="G46" s="1158">
        <v>1</v>
      </c>
      <c r="H46" s="1158">
        <v>1</v>
      </c>
      <c r="I46" s="1158">
        <v>1</v>
      </c>
      <c r="J46" s="1306">
        <f>IF(J$7,VLOOKUP(Q60/Y60,$M$9:$N$109,2),1)</f>
        <v>1</v>
      </c>
      <c r="K46" s="1307">
        <f>IF(K$7,VLOOKUP(U60/Y60,$M$9:$N$109,2),1)</f>
        <v>1</v>
      </c>
      <c r="M46" s="1302">
        <f t="shared" si="1"/>
        <v>0.37000000000000016</v>
      </c>
      <c r="N46" s="1287">
        <f t="shared" si="4"/>
        <v>0.25908232520512747</v>
      </c>
      <c r="P46" s="1134">
        <v>2030</v>
      </c>
      <c r="Q46" s="1122">
        <f t="shared" si="3"/>
        <v>73812.400000000373</v>
      </c>
      <c r="R46" s="538"/>
      <c r="S46" s="538"/>
      <c r="T46" s="538"/>
      <c r="U46" s="1122">
        <v>11075.6</v>
      </c>
      <c r="V46" s="538"/>
      <c r="W46" s="538"/>
      <c r="X46" s="538"/>
      <c r="Y46" s="1126">
        <f t="shared" si="2"/>
        <v>156065</v>
      </c>
      <c r="Z46" s="496">
        <f>-1976.3*Table1[[#This Row],[Year]]+4130497.79</f>
        <v>118608.79000000004</v>
      </c>
      <c r="AC46" s="496">
        <v>2030</v>
      </c>
      <c r="AD46" s="1301">
        <f>Table1[[#This Row],[Electricity]]/Table1[[#This Row],[Gasoline]]</f>
        <v>0.47295934386313632</v>
      </c>
      <c r="AE46" s="1301">
        <f>Table1[[#This Row],[Hydrogen]]/Table1[[#This Row],[Gasoline]]</f>
        <v>7.0967865953288703E-2</v>
      </c>
    </row>
    <row r="47" spans="2:32" x14ac:dyDescent="0.2">
      <c r="B47" s="1161">
        <v>2045</v>
      </c>
      <c r="C47" s="1166">
        <v>1</v>
      </c>
      <c r="D47" s="1158">
        <v>1</v>
      </c>
      <c r="E47" s="1158">
        <v>1</v>
      </c>
      <c r="F47" s="1158">
        <v>1</v>
      </c>
      <c r="G47" s="1158">
        <v>1</v>
      </c>
      <c r="H47" s="1158">
        <v>1</v>
      </c>
      <c r="I47" s="1158">
        <v>1</v>
      </c>
      <c r="J47" s="1306">
        <f>IF(J$7,VLOOKUP(Q61/Y61,$M$9:$N$109,2),1)</f>
        <v>1</v>
      </c>
      <c r="K47" s="1307">
        <f>IF(K$7,VLOOKUP(U61/Y61,$M$9:$N$109,2),1)</f>
        <v>1</v>
      </c>
      <c r="M47" s="1302">
        <f t="shared" si="1"/>
        <v>0.38000000000000017</v>
      </c>
      <c r="N47" s="1287">
        <f t="shared" si="4"/>
        <v>0.28367532636244841</v>
      </c>
      <c r="P47" s="1134">
        <v>2031</v>
      </c>
      <c r="Q47" s="1122">
        <f t="shared" si="3"/>
        <v>77566.133333333768</v>
      </c>
      <c r="R47" s="538"/>
      <c r="S47" s="538"/>
      <c r="T47" s="538"/>
      <c r="U47" s="1122">
        <v>13478.789999999997</v>
      </c>
      <c r="V47" s="538"/>
      <c r="W47" s="538"/>
      <c r="X47" s="538"/>
      <c r="Y47" s="1126">
        <f t="shared" si="2"/>
        <v>156065</v>
      </c>
      <c r="Z47" s="496">
        <f>-1976.3*Table1[[#This Row],[Year]]+4130497.79</f>
        <v>116632.49000000022</v>
      </c>
      <c r="AC47" s="496">
        <v>2031</v>
      </c>
      <c r="AD47" s="1301">
        <f>Table1[[#This Row],[Electricity]]/Table1[[#This Row],[Gasoline]]</f>
        <v>0.49701171520413784</v>
      </c>
      <c r="AE47" s="1301">
        <f>Table1[[#This Row],[Hydrogen]]/Table1[[#This Row],[Gasoline]]</f>
        <v>8.6366513952519763E-2</v>
      </c>
    </row>
    <row r="48" spans="2:32" x14ac:dyDescent="0.2">
      <c r="B48" s="1161">
        <v>2046</v>
      </c>
      <c r="C48" s="1166">
        <v>1</v>
      </c>
      <c r="D48" s="1158">
        <v>1</v>
      </c>
      <c r="E48" s="1158">
        <v>1</v>
      </c>
      <c r="F48" s="1158">
        <v>1</v>
      </c>
      <c r="G48" s="1158">
        <v>1</v>
      </c>
      <c r="H48" s="1158">
        <v>1</v>
      </c>
      <c r="I48" s="1158">
        <v>1</v>
      </c>
      <c r="J48" s="1306">
        <f>IF(J$7,VLOOKUP(Q62/Y62,$M$9:$N$109,2),1)</f>
        <v>1</v>
      </c>
      <c r="K48" s="1307">
        <f>IF(K$7,VLOOKUP(U62/Y62,$M$9:$N$109,2),1)</f>
        <v>1</v>
      </c>
      <c r="M48" s="1302">
        <f t="shared" si="1"/>
        <v>0.39000000000000018</v>
      </c>
      <c r="N48" s="1287">
        <f t="shared" si="4"/>
        <v>0.30936965849496828</v>
      </c>
      <c r="P48" s="1134">
        <v>2032</v>
      </c>
      <c r="Q48" s="1122">
        <f t="shared" si="3"/>
        <v>81319.866666667163</v>
      </c>
      <c r="R48" s="538"/>
      <c r="S48" s="538"/>
      <c r="T48" s="538"/>
      <c r="U48" s="1122">
        <v>16001.890000000003</v>
      </c>
      <c r="V48" s="538"/>
      <c r="W48" s="538"/>
      <c r="X48" s="538"/>
      <c r="Y48" s="1126">
        <f t="shared" si="2"/>
        <v>156065</v>
      </c>
      <c r="Z48" s="496">
        <f>-1976.3*Table1[[#This Row],[Year]]+4130497.79</f>
        <v>114656.18999999994</v>
      </c>
      <c r="AC48" s="496">
        <v>2032</v>
      </c>
      <c r="AD48" s="1301">
        <f>Table1[[#This Row],[Electricity]]/Table1[[#This Row],[Gasoline]]</f>
        <v>0.52106408654513925</v>
      </c>
      <c r="AE48" s="1301">
        <f>Table1[[#This Row],[Hydrogen]]/Table1[[#This Row],[Gasoline]]</f>
        <v>0.10253349565886011</v>
      </c>
    </row>
    <row r="49" spans="2:31" x14ac:dyDescent="0.2">
      <c r="B49" s="1161">
        <v>2047</v>
      </c>
      <c r="C49" s="1166">
        <v>1</v>
      </c>
      <c r="D49" s="1158">
        <v>1</v>
      </c>
      <c r="E49" s="1158">
        <v>1</v>
      </c>
      <c r="F49" s="1158">
        <v>1</v>
      </c>
      <c r="G49" s="1158">
        <v>1</v>
      </c>
      <c r="H49" s="1158">
        <v>1</v>
      </c>
      <c r="I49" s="1158">
        <v>1</v>
      </c>
      <c r="J49" s="1306">
        <f>IF(J$7,VLOOKUP(Q63/Y63,$M$9:$N$109,2),1)</f>
        <v>1</v>
      </c>
      <c r="K49" s="1307">
        <f>IF(K$7,VLOOKUP(U63/Y63,$M$9:$N$109,2),1)</f>
        <v>1</v>
      </c>
      <c r="M49" s="1302">
        <f t="shared" si="1"/>
        <v>0.40000000000000019</v>
      </c>
      <c r="N49" s="1287">
        <f t="shared" si="4"/>
        <v>0.33608423666452697</v>
      </c>
      <c r="P49" s="1134">
        <v>2033</v>
      </c>
      <c r="Q49" s="1122">
        <f t="shared" si="3"/>
        <v>85073.600000000559</v>
      </c>
      <c r="R49" s="538"/>
      <c r="S49" s="538"/>
      <c r="T49" s="538"/>
      <c r="U49" s="1122">
        <v>18199.889999999996</v>
      </c>
      <c r="V49" s="538"/>
      <c r="W49" s="538"/>
      <c r="X49" s="538"/>
      <c r="Y49" s="1126">
        <f t="shared" si="2"/>
        <v>156065</v>
      </c>
      <c r="Z49" s="496">
        <f>-1976.3*Table1[[#This Row],[Year]]+4130497.79</f>
        <v>112679.89000000013</v>
      </c>
      <c r="AC49" s="496">
        <v>2033</v>
      </c>
      <c r="AD49" s="1301">
        <f>Table1[[#This Row],[Electricity]]/Table1[[#This Row],[Gasoline]]</f>
        <v>0.54511645788614072</v>
      </c>
      <c r="AE49" s="1301">
        <f>Table1[[#This Row],[Hydrogen]]/Table1[[#This Row],[Gasoline]]</f>
        <v>0.11661737096722517</v>
      </c>
    </row>
    <row r="50" spans="2:31" x14ac:dyDescent="0.2">
      <c r="B50" s="1161">
        <v>2048</v>
      </c>
      <c r="C50" s="1166">
        <v>1</v>
      </c>
      <c r="D50" s="1158">
        <v>1</v>
      </c>
      <c r="E50" s="1158">
        <v>1</v>
      </c>
      <c r="F50" s="1158">
        <v>1</v>
      </c>
      <c r="G50" s="1158">
        <v>1</v>
      </c>
      <c r="H50" s="1158">
        <v>1</v>
      </c>
      <c r="I50" s="1158">
        <v>1</v>
      </c>
      <c r="J50" s="1306">
        <f>IF(J$7,VLOOKUP(Q64/Y64,$M$9:$N$109,2),1)</f>
        <v>1</v>
      </c>
      <c r="K50" s="1307">
        <f>IF(K$7,VLOOKUP(U64/Y64,$M$9:$N$109,2),1)</f>
        <v>1</v>
      </c>
      <c r="M50" s="1302">
        <f t="shared" si="1"/>
        <v>0.4100000000000002</v>
      </c>
      <c r="N50" s="1287">
        <f t="shared" si="4"/>
        <v>0.36372330804167707</v>
      </c>
      <c r="P50" s="1134">
        <v>2034</v>
      </c>
      <c r="Q50" s="1122">
        <f t="shared" si="3"/>
        <v>88827.333333333954</v>
      </c>
      <c r="R50" s="538"/>
      <c r="S50" s="538"/>
      <c r="T50" s="538"/>
      <c r="U50" s="1122">
        <v>20480.889999999996</v>
      </c>
      <c r="V50" s="538"/>
      <c r="W50" s="538"/>
      <c r="X50" s="538"/>
      <c r="Y50" s="1126">
        <f t="shared" si="2"/>
        <v>156065</v>
      </c>
      <c r="Z50" s="496">
        <f>-1976.3*Table1[[#This Row],[Year]]+4130497.79</f>
        <v>110703.59000000032</v>
      </c>
      <c r="AC50" s="496">
        <v>2034</v>
      </c>
      <c r="AD50" s="1301">
        <f>Table1[[#This Row],[Electricity]]/Table1[[#This Row],[Gasoline]]</f>
        <v>0.56916882922714229</v>
      </c>
      <c r="AE50" s="1301">
        <f>Table1[[#This Row],[Hydrogen]]/Table1[[#This Row],[Gasoline]]</f>
        <v>0.13123307596193892</v>
      </c>
    </row>
    <row r="51" spans="2:31" x14ac:dyDescent="0.2">
      <c r="B51" s="1161">
        <v>2049</v>
      </c>
      <c r="C51" s="1166">
        <v>1</v>
      </c>
      <c r="D51" s="1158">
        <v>1</v>
      </c>
      <c r="E51" s="1158">
        <v>1</v>
      </c>
      <c r="F51" s="1158">
        <v>1</v>
      </c>
      <c r="G51" s="1158">
        <v>1</v>
      </c>
      <c r="H51" s="1158">
        <v>1</v>
      </c>
      <c r="I51" s="1158">
        <v>1</v>
      </c>
      <c r="J51" s="1306">
        <f>IF(J$7,VLOOKUP(Q65/Y65,$M$9:$N$109,2),1)</f>
        <v>1</v>
      </c>
      <c r="K51" s="1307">
        <f>IF(K$7,VLOOKUP(U65/Y65,$M$9:$N$109,2),1)</f>
        <v>1</v>
      </c>
      <c r="M51" s="1302">
        <f t="shared" si="1"/>
        <v>0.42000000000000021</v>
      </c>
      <c r="N51" s="1287">
        <f t="shared" si="4"/>
        <v>0.39217687976031146</v>
      </c>
      <c r="P51" s="1134">
        <v>2035</v>
      </c>
      <c r="Q51" s="1122">
        <f t="shared" si="3"/>
        <v>92581.06666666735</v>
      </c>
      <c r="R51" s="538"/>
      <c r="S51" s="538"/>
      <c r="T51" s="538"/>
      <c r="U51" s="1122">
        <v>22921.889999999996</v>
      </c>
      <c r="V51" s="538"/>
      <c r="W51" s="538"/>
      <c r="X51" s="538"/>
      <c r="Y51" s="1126">
        <f t="shared" si="2"/>
        <v>156065</v>
      </c>
      <c r="Z51" s="496">
        <f>-1976.3*Table1[[#This Row],[Year]]+4130497.79</f>
        <v>108727.29000000004</v>
      </c>
      <c r="AC51" s="496">
        <v>2035</v>
      </c>
      <c r="AD51" s="1301">
        <f>Table1[[#This Row],[Electricity]]/Table1[[#This Row],[Gasoline]]</f>
        <v>0.59322120056814376</v>
      </c>
      <c r="AE51" s="1301">
        <f>Table1[[#This Row],[Hydrogen]]/Table1[[#This Row],[Gasoline]]</f>
        <v>0.14687399480985483</v>
      </c>
    </row>
    <row r="52" spans="2:31" ht="13.5" thickBot="1" x14ac:dyDescent="0.25">
      <c r="B52" s="1162">
        <v>2050</v>
      </c>
      <c r="C52" s="1167">
        <v>1</v>
      </c>
      <c r="D52" s="1159">
        <v>1</v>
      </c>
      <c r="E52" s="1159">
        <v>1</v>
      </c>
      <c r="F52" s="1159">
        <v>1</v>
      </c>
      <c r="G52" s="1159">
        <v>1</v>
      </c>
      <c r="H52" s="1159">
        <v>1</v>
      </c>
      <c r="I52" s="1159">
        <v>1</v>
      </c>
      <c r="J52" s="1308">
        <f>IF(J$7,VLOOKUP(Q66/Y66,$M$9:$N$109,2),1)</f>
        <v>1</v>
      </c>
      <c r="K52" s="1309">
        <f>IF(K$7,VLOOKUP(U66/Y66,$M$9:$N$109,2),1)</f>
        <v>1</v>
      </c>
      <c r="M52" s="1302">
        <f t="shared" si="1"/>
        <v>0.43000000000000022</v>
      </c>
      <c r="N52" s="1287">
        <f t="shared" si="4"/>
        <v>0.42132146335212817</v>
      </c>
      <c r="P52" s="1134">
        <v>2036</v>
      </c>
      <c r="Q52" s="1122">
        <f t="shared" si="3"/>
        <v>96334.800000000745</v>
      </c>
      <c r="R52" s="538"/>
      <c r="S52" s="538"/>
      <c r="T52" s="538"/>
      <c r="U52" s="1122">
        <v>25534.889999999996</v>
      </c>
      <c r="V52" s="538"/>
      <c r="W52" s="538"/>
      <c r="X52" s="538"/>
      <c r="Y52" s="1126">
        <f t="shared" si="2"/>
        <v>156065</v>
      </c>
      <c r="Z52" s="496">
        <f>-1976.3*Table1[[#This Row],[Year]]+4130497.79</f>
        <v>106750.99000000022</v>
      </c>
      <c r="AC52" s="496">
        <v>2036</v>
      </c>
      <c r="AD52" s="1301">
        <f>Table1[[#This Row],[Electricity]]/Table1[[#This Row],[Gasoline]]</f>
        <v>0.61727357190914522</v>
      </c>
      <c r="AE52" s="1301">
        <f>Table1[[#This Row],[Hydrogen]]/Table1[[#This Row],[Gasoline]]</f>
        <v>0.16361701854996313</v>
      </c>
    </row>
    <row r="53" spans="2:31" x14ac:dyDescent="0.2">
      <c r="M53" s="1302">
        <f t="shared" si="1"/>
        <v>0.44000000000000022</v>
      </c>
      <c r="N53" s="1287">
        <f t="shared" si="4"/>
        <v>0.45102114846019115</v>
      </c>
      <c r="P53" s="1134">
        <v>2037</v>
      </c>
      <c r="Q53" s="1122">
        <f t="shared" si="3"/>
        <v>100088.53333333414</v>
      </c>
      <c r="R53" s="538"/>
      <c r="S53" s="538"/>
      <c r="T53" s="538"/>
      <c r="U53" s="1122">
        <v>28238.889999999996</v>
      </c>
      <c r="V53" s="538"/>
      <c r="W53" s="538"/>
      <c r="X53" s="538"/>
      <c r="Y53" s="1126">
        <f t="shared" si="2"/>
        <v>156065</v>
      </c>
      <c r="Z53" s="496">
        <f>-1976.3*Table1[[#This Row],[Year]]+4130497.79</f>
        <v>104774.68999999994</v>
      </c>
      <c r="AC53" s="496">
        <v>2037</v>
      </c>
      <c r="AD53" s="1301">
        <f>Table1[[#This Row],[Electricity]]/Table1[[#This Row],[Gasoline]]</f>
        <v>0.64132594325014669</v>
      </c>
      <c r="AE53" s="1301">
        <f>Table1[[#This Row],[Hydrogen]]/Table1[[#This Row],[Gasoline]]</f>
        <v>0.18094313266908016</v>
      </c>
    </row>
    <row r="54" spans="2:31" x14ac:dyDescent="0.2">
      <c r="M54" s="1302">
        <f t="shared" si="1"/>
        <v>0.45000000000000023</v>
      </c>
      <c r="N54" s="1287">
        <f t="shared" si="4"/>
        <v>0.48112900953454829</v>
      </c>
      <c r="P54" s="1134">
        <v>2038</v>
      </c>
      <c r="Q54" s="1122">
        <f t="shared" si="3"/>
        <v>103842.26666666754</v>
      </c>
      <c r="R54" s="538"/>
      <c r="S54" s="538"/>
      <c r="T54" s="538"/>
      <c r="U54" s="1122">
        <v>31005.889999999996</v>
      </c>
      <c r="V54" s="538"/>
      <c r="W54" s="538"/>
      <c r="X54" s="538"/>
      <c r="Y54" s="1126">
        <f t="shared" si="2"/>
        <v>156065</v>
      </c>
      <c r="Z54" s="496">
        <f>-1976.3*Table1[[#This Row],[Year]]+4130497.79</f>
        <v>102798.39000000013</v>
      </c>
      <c r="AC54" s="496">
        <v>2038</v>
      </c>
      <c r="AD54" s="1301">
        <f>Table1[[#This Row],[Electricity]]/Table1[[#This Row],[Gasoline]]</f>
        <v>0.66537831459114816</v>
      </c>
      <c r="AE54" s="1301">
        <f>Table1[[#This Row],[Hydrogen]]/Table1[[#This Row],[Gasoline]]</f>
        <v>0.19867292474289555</v>
      </c>
    </row>
    <row r="55" spans="2:31" x14ac:dyDescent="0.2">
      <c r="M55" s="1302">
        <f t="shared" si="1"/>
        <v>0.46000000000000024</v>
      </c>
      <c r="N55" s="1287">
        <f t="shared" si="4"/>
        <v>0.51148883886909147</v>
      </c>
      <c r="P55" s="1134">
        <v>2039</v>
      </c>
      <c r="Q55" s="1122">
        <f t="shared" si="3"/>
        <v>107596.00000000093</v>
      </c>
      <c r="R55" s="538"/>
      <c r="S55" s="538"/>
      <c r="T55" s="538"/>
      <c r="U55" s="1122">
        <v>33834.89</v>
      </c>
      <c r="V55" s="538"/>
      <c r="W55" s="538"/>
      <c r="X55" s="538"/>
      <c r="Y55" s="1126">
        <f t="shared" si="2"/>
        <v>156065</v>
      </c>
      <c r="Z55" s="496">
        <f>-1976.3*Table1[[#This Row],[Year]]+4130497.79</f>
        <v>100822.09000000032</v>
      </c>
      <c r="AC55" s="496">
        <v>2039</v>
      </c>
      <c r="AD55" s="1301">
        <f>Table1[[#This Row],[Electricity]]/Table1[[#This Row],[Gasoline]]</f>
        <v>0.68943068593214962</v>
      </c>
      <c r="AE55" s="1301">
        <f>Table1[[#This Row],[Hydrogen]]/Table1[[#This Row],[Gasoline]]</f>
        <v>0.21679998718482682</v>
      </c>
    </row>
    <row r="56" spans="2:31" x14ac:dyDescent="0.2">
      <c r="D56" s="496" t="b">
        <v>1</v>
      </c>
      <c r="M56" s="1302">
        <f t="shared" si="1"/>
        <v>0.47000000000000025</v>
      </c>
      <c r="N56" s="1287">
        <f t="shared" si="4"/>
        <v>0.54193718792371426</v>
      </c>
      <c r="P56" s="1134">
        <v>2040</v>
      </c>
      <c r="Q56" s="1122">
        <f t="shared" si="3"/>
        <v>111349.73333333433</v>
      </c>
      <c r="R56" s="538"/>
      <c r="S56" s="538"/>
      <c r="T56" s="538"/>
      <c r="U56" s="1122">
        <v>36523.89</v>
      </c>
      <c r="V56" s="538"/>
      <c r="W56" s="538"/>
      <c r="X56" s="538"/>
      <c r="Y56" s="1126">
        <f t="shared" si="2"/>
        <v>156065</v>
      </c>
      <c r="Z56" s="496">
        <f>-1976.3*Table1[[#This Row],[Year]]+4130497.79</f>
        <v>98845.790000000037</v>
      </c>
      <c r="AC56" s="496">
        <v>2040</v>
      </c>
      <c r="AD56" s="1301">
        <f>Table1[[#This Row],[Electricity]]/Table1[[#This Row],[Gasoline]]</f>
        <v>0.71348305727315109</v>
      </c>
      <c r="AE56" s="1301">
        <f>Table1[[#This Row],[Hydrogen]]/Table1[[#This Row],[Gasoline]]</f>
        <v>0.23402998750520615</v>
      </c>
    </row>
    <row r="57" spans="2:31" x14ac:dyDescent="0.2">
      <c r="D57" s="496" t="b">
        <v>0</v>
      </c>
      <c r="M57" s="1302">
        <f t="shared" si="1"/>
        <v>0.48000000000000026</v>
      </c>
      <c r="N57" s="1287">
        <f t="shared" si="4"/>
        <v>0.57230568676862981</v>
      </c>
      <c r="P57" s="1134">
        <v>2041</v>
      </c>
      <c r="Q57" s="1122">
        <f t="shared" si="3"/>
        <v>115103.46666666679</v>
      </c>
      <c r="R57" s="1125"/>
      <c r="S57" s="1125"/>
      <c r="T57" s="1125"/>
      <c r="U57" s="1122">
        <v>39429.890000000007</v>
      </c>
      <c r="V57" s="1125"/>
      <c r="W57" s="1125"/>
      <c r="X57" s="1125"/>
      <c r="Y57" s="1126">
        <f t="shared" si="2"/>
        <v>156065</v>
      </c>
      <c r="Z57" s="496">
        <f>-1976.3*Table1[[#This Row],[Year]]+4130497.79</f>
        <v>96869.490000000224</v>
      </c>
      <c r="AC57" s="496">
        <v>2041</v>
      </c>
      <c r="AD57" s="1301">
        <f>Table1[[#This Row],[Electricity]]/Table1[[#This Row],[Gasoline]]</f>
        <v>0.73753542861414656</v>
      </c>
      <c r="AE57" s="1301">
        <f>Table1[[#This Row],[Hydrogen]]/Table1[[#This Row],[Gasoline]]</f>
        <v>0.25265043411399102</v>
      </c>
    </row>
    <row r="58" spans="2:31" x14ac:dyDescent="0.2">
      <c r="M58" s="1302">
        <f t="shared" si="1"/>
        <v>0.49000000000000027</v>
      </c>
      <c r="N58" s="1287">
        <f t="shared" si="4"/>
        <v>0.60242359916581223</v>
      </c>
      <c r="P58" s="1134">
        <v>2042</v>
      </c>
      <c r="Q58" s="1122">
        <f t="shared" si="3"/>
        <v>118857.20000000019</v>
      </c>
      <c r="R58" s="1125"/>
      <c r="S58" s="1125"/>
      <c r="T58" s="1125"/>
      <c r="U58" s="1122">
        <v>42341.890000000007</v>
      </c>
      <c r="V58" s="1125"/>
      <c r="W58" s="1125"/>
      <c r="X58" s="1125"/>
      <c r="Y58" s="1126">
        <f t="shared" si="2"/>
        <v>156065</v>
      </c>
      <c r="Z58" s="496">
        <f>-1976.3*Table1[[#This Row],[Year]]+4130497.79</f>
        <v>94893.189999999944</v>
      </c>
      <c r="AC58" s="496">
        <v>2042</v>
      </c>
      <c r="AD58" s="1301">
        <f>Table1[[#This Row],[Electricity]]/Table1[[#This Row],[Gasoline]]</f>
        <v>0.76158779995514814</v>
      </c>
      <c r="AE58" s="1301">
        <f>Table1[[#This Row],[Hydrogen]]/Table1[[#This Row],[Gasoline]]</f>
        <v>0.27130932624227089</v>
      </c>
    </row>
    <row r="59" spans="2:31" x14ac:dyDescent="0.2">
      <c r="M59" s="1302">
        <f t="shared" si="1"/>
        <v>0.50000000000000022</v>
      </c>
      <c r="N59" s="1287">
        <f t="shared" si="4"/>
        <v>0.63212055882855833</v>
      </c>
      <c r="P59" s="1134">
        <v>2043</v>
      </c>
      <c r="Q59" s="1122">
        <f t="shared" si="3"/>
        <v>122610.93333333358</v>
      </c>
      <c r="R59" s="1125"/>
      <c r="S59" s="1125"/>
      <c r="T59" s="1125"/>
      <c r="U59" s="1122">
        <v>45272.890000000007</v>
      </c>
      <c r="V59" s="1125"/>
      <c r="W59" s="1125"/>
      <c r="X59" s="1125"/>
      <c r="Y59" s="1126">
        <f t="shared" si="2"/>
        <v>156065</v>
      </c>
      <c r="Z59" s="496">
        <f>-1976.3*Table1[[#This Row],[Year]]+4130497.79</f>
        <v>92916.89000000013</v>
      </c>
      <c r="AC59" s="496">
        <v>2043</v>
      </c>
      <c r="AD59" s="1301">
        <f>Table1[[#This Row],[Electricity]]/Table1[[#This Row],[Gasoline]]</f>
        <v>0.7856401712961496</v>
      </c>
      <c r="AE59" s="1301">
        <f>Table1[[#This Row],[Hydrogen]]/Table1[[#This Row],[Gasoline]]</f>
        <v>0.29008996251561853</v>
      </c>
    </row>
    <row r="60" spans="2:31" x14ac:dyDescent="0.2">
      <c r="M60" s="1302">
        <f t="shared" si="1"/>
        <v>0.51000000000000023</v>
      </c>
      <c r="N60" s="1287">
        <f t="shared" ref="N60:N109" si="5">WEIBULL(M60,$N$4,$N$5,$N$6)</f>
        <v>0.66122942140045338</v>
      </c>
      <c r="P60" s="1134">
        <v>2044</v>
      </c>
      <c r="Q60" s="1122">
        <f t="shared" si="3"/>
        <v>126364.66666666698</v>
      </c>
      <c r="R60" s="1125"/>
      <c r="S60" s="1125"/>
      <c r="T60" s="1125"/>
      <c r="U60" s="1122">
        <v>48191.890000000007</v>
      </c>
      <c r="V60" s="1125"/>
      <c r="W60" s="1125"/>
      <c r="X60" s="1125"/>
      <c r="Y60" s="1126">
        <f t="shared" si="2"/>
        <v>156065</v>
      </c>
      <c r="Z60" s="496">
        <f>-1976.3*Table1[[#This Row],[Year]]+4130497.79</f>
        <v>90940.590000000317</v>
      </c>
      <c r="AC60" s="496">
        <v>2044</v>
      </c>
      <c r="AD60" s="1301">
        <f>Table1[[#This Row],[Electricity]]/Table1[[#This Row],[Gasoline]]</f>
        <v>0.80969254263715107</v>
      </c>
      <c r="AE60" s="1301">
        <f>Table1[[#This Row],[Hydrogen]]/Table1[[#This Row],[Gasoline]]</f>
        <v>0.308793707749976</v>
      </c>
    </row>
    <row r="61" spans="2:31" x14ac:dyDescent="0.2">
      <c r="M61" s="1302">
        <f t="shared" si="1"/>
        <v>0.52000000000000024</v>
      </c>
      <c r="N61" s="1287">
        <f t="shared" si="5"/>
        <v>0.68958915732970893</v>
      </c>
      <c r="P61" s="1134">
        <v>2045</v>
      </c>
      <c r="Q61" s="1122">
        <f t="shared" si="3"/>
        <v>130118.40000000037</v>
      </c>
      <c r="R61" s="1125"/>
      <c r="S61" s="1125"/>
      <c r="T61" s="1125"/>
      <c r="U61" s="1122">
        <v>51068.890000000007</v>
      </c>
      <c r="V61" s="1125"/>
      <c r="W61" s="1125"/>
      <c r="X61" s="1125"/>
      <c r="Y61" s="1126">
        <f t="shared" si="2"/>
        <v>156065</v>
      </c>
      <c r="Z61" s="496">
        <f>-1976.3*Table1[[#This Row],[Year]]+4130497.79</f>
        <v>88964.290000000037</v>
      </c>
      <c r="AC61" s="496">
        <v>2045</v>
      </c>
      <c r="AD61" s="1301">
        <f>Table1[[#This Row],[Electricity]]/Table1[[#This Row],[Gasoline]]</f>
        <v>0.83374491397815254</v>
      </c>
      <c r="AE61" s="1301">
        <f>Table1[[#This Row],[Hydrogen]]/Table1[[#This Row],[Gasoline]]</f>
        <v>0.32722833434786791</v>
      </c>
    </row>
    <row r="62" spans="2:31" x14ac:dyDescent="0.2">
      <c r="M62" s="1302">
        <f t="shared" si="1"/>
        <v>0.53000000000000025</v>
      </c>
      <c r="N62" s="1287">
        <f t="shared" si="5"/>
        <v>0.71704770374006288</v>
      </c>
      <c r="P62" s="1134">
        <v>2046</v>
      </c>
      <c r="Q62" s="1122">
        <f t="shared" si="3"/>
        <v>133872.13333333377</v>
      </c>
      <c r="R62" s="1125"/>
      <c r="S62" s="1125"/>
      <c r="T62" s="1125"/>
      <c r="U62" s="1122">
        <v>53824.890000000007</v>
      </c>
      <c r="V62" s="1125"/>
      <c r="W62" s="1125"/>
      <c r="X62" s="1125"/>
      <c r="Y62" s="1126">
        <f t="shared" si="2"/>
        <v>156065</v>
      </c>
      <c r="Z62" s="496">
        <f>-1976.3*Table1[[#This Row],[Year]]+4130497.79</f>
        <v>86987.990000000224</v>
      </c>
      <c r="AC62" s="496">
        <v>2046</v>
      </c>
      <c r="AD62" s="1301">
        <f>Table1[[#This Row],[Electricity]]/Table1[[#This Row],[Gasoline]]</f>
        <v>0.857797285319154</v>
      </c>
      <c r="AE62" s="1301">
        <f>Table1[[#This Row],[Hydrogen]]/Table1[[#This Row],[Gasoline]]</f>
        <v>0.34488764296927565</v>
      </c>
    </row>
    <row r="63" spans="2:31" x14ac:dyDescent="0.2">
      <c r="M63" s="1302">
        <f t="shared" si="1"/>
        <v>0.54000000000000026</v>
      </c>
      <c r="N63" s="1287">
        <f t="shared" si="5"/>
        <v>0.74346468922347331</v>
      </c>
      <c r="P63" s="1134">
        <v>2047</v>
      </c>
      <c r="Q63" s="1122">
        <f t="shared" si="3"/>
        <v>137625.86666666716</v>
      </c>
      <c r="R63" s="1125"/>
      <c r="S63" s="1125"/>
      <c r="T63" s="1125"/>
      <c r="U63" s="1122">
        <v>56484.890000000007</v>
      </c>
      <c r="V63" s="1125"/>
      <c r="W63" s="1125"/>
      <c r="X63" s="1125"/>
      <c r="Y63" s="1126">
        <f t="shared" si="2"/>
        <v>156065</v>
      </c>
      <c r="Z63" s="496">
        <f>-1976.3*Table1[[#This Row],[Year]]+4130497.79</f>
        <v>85011.689999999944</v>
      </c>
      <c r="AC63" s="496">
        <v>2047</v>
      </c>
      <c r="AD63" s="1301">
        <f>Table1[[#This Row],[Electricity]]/Table1[[#This Row],[Gasoline]]</f>
        <v>0.88184965666015547</v>
      </c>
      <c r="AE63" s="1301">
        <f>Table1[[#This Row],[Hydrogen]]/Table1[[#This Row],[Gasoline]]</f>
        <v>0.36193182327876211</v>
      </c>
    </row>
    <row r="64" spans="2:31" x14ac:dyDescent="0.2">
      <c r="M64" s="1302">
        <f t="shared" si="1"/>
        <v>0.55000000000000027</v>
      </c>
      <c r="N64" s="1287">
        <f t="shared" si="5"/>
        <v>0.768713944715672</v>
      </c>
      <c r="P64" s="1134">
        <v>2048</v>
      </c>
      <c r="Q64" s="1122">
        <f t="shared" si="3"/>
        <v>141379.60000000056</v>
      </c>
      <c r="R64" s="1125"/>
      <c r="S64" s="1125"/>
      <c r="T64" s="1125"/>
      <c r="U64" s="1122">
        <v>59039.890000000007</v>
      </c>
      <c r="V64" s="1125"/>
      <c r="W64" s="1125"/>
      <c r="X64" s="1125"/>
      <c r="Y64" s="1126">
        <f t="shared" si="2"/>
        <v>156065</v>
      </c>
      <c r="Z64" s="496">
        <f>-1976.3*Table1[[#This Row],[Year]]+4130497.79</f>
        <v>83035.39000000013</v>
      </c>
      <c r="AC64" s="496">
        <v>2048</v>
      </c>
      <c r="AD64" s="1301">
        <f>Table1[[#This Row],[Electricity]]/Table1[[#This Row],[Gasoline]]</f>
        <v>0.90590202800115693</v>
      </c>
      <c r="AE64" s="1301">
        <f>Table1[[#This Row],[Hydrogen]]/Table1[[#This Row],[Gasoline]]</f>
        <v>0.37830320699708458</v>
      </c>
    </row>
    <row r="65" spans="13:31" x14ac:dyDescent="0.2">
      <c r="M65" s="1302">
        <f t="shared" si="1"/>
        <v>0.56000000000000028</v>
      </c>
      <c r="N65" s="1287">
        <f t="shared" si="5"/>
        <v>0.79268571663322196</v>
      </c>
      <c r="P65" s="1134">
        <v>2049</v>
      </c>
      <c r="Q65" s="1122">
        <f t="shared" si="3"/>
        <v>145133.33333333395</v>
      </c>
      <c r="R65" s="1125"/>
      <c r="S65" s="1125"/>
      <c r="T65" s="1125"/>
      <c r="U65" s="1122">
        <v>61442.890000000007</v>
      </c>
      <c r="V65" s="1125"/>
      <c r="W65" s="1125"/>
      <c r="X65" s="1125"/>
      <c r="Y65" s="1126">
        <f t="shared" si="2"/>
        <v>156065</v>
      </c>
      <c r="Z65" s="496">
        <f>-1976.3*Table1[[#This Row],[Year]]+4130497.79</f>
        <v>81059.090000000317</v>
      </c>
      <c r="AC65" s="496">
        <v>2049</v>
      </c>
      <c r="AD65" s="1301">
        <f>Table1[[#This Row],[Electricity]]/Table1[[#This Row],[Gasoline]]</f>
        <v>0.9299543993421584</v>
      </c>
      <c r="AE65" s="1301">
        <f>Table1[[#This Row],[Hydrogen]]/Table1[[#This Row],[Gasoline]]</f>
        <v>0.39370063755486501</v>
      </c>
    </row>
    <row r="66" spans="13:31" x14ac:dyDescent="0.2">
      <c r="M66" s="1302">
        <f t="shared" si="1"/>
        <v>0.57000000000000028</v>
      </c>
      <c r="N66" s="1287">
        <f t="shared" si="5"/>
        <v>0.81528850543313935</v>
      </c>
      <c r="P66" s="1134">
        <v>2050</v>
      </c>
      <c r="Q66" s="1122">
        <f t="shared" si="3"/>
        <v>148887.06666666735</v>
      </c>
      <c r="R66" s="1125"/>
      <c r="S66" s="1125"/>
      <c r="T66" s="1125"/>
      <c r="U66" s="1122">
        <v>63797.890000000007</v>
      </c>
      <c r="V66" s="1125"/>
      <c r="W66" s="1125"/>
      <c r="X66" s="1125"/>
      <c r="Y66" s="1126">
        <f t="shared" si="2"/>
        <v>156065</v>
      </c>
      <c r="Z66" s="496">
        <f>-1976.3*Table1[[#This Row],[Year]]+4130497.79</f>
        <v>79082.790000000037</v>
      </c>
      <c r="AC66" s="496">
        <v>2050</v>
      </c>
      <c r="AD66" s="1301">
        <f>Table1[[#This Row],[Electricity]]/Table1[[#This Row],[Gasoline]]</f>
        <v>0.95400677068315987</v>
      </c>
      <c r="AE66" s="1301">
        <f>Table1[[#This Row],[Hydrogen]]/Table1[[#This Row],[Gasoline]]</f>
        <v>0.40879050395668476</v>
      </c>
    </row>
    <row r="67" spans="13:31" x14ac:dyDescent="0.2">
      <c r="M67" s="1302">
        <f t="shared" si="1"/>
        <v>0.58000000000000029</v>
      </c>
      <c r="N67" s="1287">
        <f t="shared" si="5"/>
        <v>0.83645046366396225</v>
      </c>
      <c r="P67" s="1135"/>
      <c r="Q67"/>
      <c r="R67"/>
      <c r="S67"/>
      <c r="T67"/>
      <c r="U67"/>
      <c r="V67"/>
      <c r="W67"/>
      <c r="X67"/>
    </row>
    <row r="68" spans="13:31" x14ac:dyDescent="0.2">
      <c r="M68" s="1302">
        <f t="shared" si="1"/>
        <v>0.5900000000000003</v>
      </c>
      <c r="N68" s="1287">
        <f t="shared" si="5"/>
        <v>0.85612030212542312</v>
      </c>
      <c r="P68" s="1135"/>
      <c r="Q68"/>
      <c r="R68"/>
      <c r="S68"/>
      <c r="T68"/>
      <c r="U68"/>
      <c r="V68"/>
      <c r="W68"/>
      <c r="X68"/>
    </row>
    <row r="69" spans="13:31" x14ac:dyDescent="0.2">
      <c r="M69" s="1302">
        <f t="shared" si="1"/>
        <v>0.60000000000000031</v>
      </c>
      <c r="N69" s="1287">
        <f t="shared" si="5"/>
        <v>0.87426767040557263</v>
      </c>
      <c r="P69" s="1135"/>
      <c r="Q69"/>
      <c r="R69"/>
      <c r="S69"/>
      <c r="T69"/>
      <c r="U69"/>
      <c r="V69"/>
      <c r="W69"/>
      <c r="X69"/>
    </row>
    <row r="70" spans="13:31" x14ac:dyDescent="0.2">
      <c r="M70" s="1302">
        <f t="shared" si="1"/>
        <v>0.61000000000000032</v>
      </c>
      <c r="N70" s="1287">
        <f t="shared" si="5"/>
        <v>0.89088299804314675</v>
      </c>
      <c r="P70"/>
      <c r="Q70"/>
      <c r="R70"/>
      <c r="S70"/>
      <c r="T70"/>
      <c r="U70"/>
      <c r="V70"/>
      <c r="W70"/>
      <c r="X70"/>
      <c r="Y70"/>
      <c r="Z70"/>
    </row>
    <row r="71" spans="13:31" x14ac:dyDescent="0.2">
      <c r="M71" s="1302">
        <f t="shared" si="1"/>
        <v>0.62000000000000033</v>
      </c>
      <c r="N71" s="1287">
        <f t="shared" si="5"/>
        <v>0.90597680388751134</v>
      </c>
      <c r="P71"/>
      <c r="Q71" t="s">
        <v>330</v>
      </c>
      <c r="R71"/>
      <c r="S71"/>
      <c r="T71"/>
      <c r="U71"/>
      <c r="V71"/>
      <c r="W71"/>
      <c r="X71"/>
      <c r="Y71"/>
      <c r="Z71"/>
    </row>
    <row r="72" spans="13:31" ht="13.5" thickBot="1" x14ac:dyDescent="0.25">
      <c r="M72" s="1302">
        <f t="shared" si="1"/>
        <v>0.63000000000000034</v>
      </c>
      <c r="N72" s="1287">
        <f t="shared" si="5"/>
        <v>0.91957850276566688</v>
      </c>
      <c r="P72"/>
      <c r="Q72"/>
      <c r="R72"/>
      <c r="S72"/>
      <c r="T72"/>
      <c r="U72"/>
      <c r="V72"/>
      <c r="W72"/>
      <c r="X72"/>
      <c r="Y72"/>
      <c r="Z72"/>
    </row>
    <row r="73" spans="13:31" x14ac:dyDescent="0.2">
      <c r="M73" s="1302">
        <f t="shared" si="1"/>
        <v>0.64000000000000035</v>
      </c>
      <c r="N73" s="1287">
        <f t="shared" si="5"/>
        <v>0.93173475910294257</v>
      </c>
      <c r="P73"/>
      <c r="Q73" s="1282" t="s">
        <v>331</v>
      </c>
      <c r="R73" s="1282"/>
      <c r="S73"/>
      <c r="T73"/>
      <c r="U73"/>
      <c r="V73"/>
      <c r="W73"/>
      <c r="X73"/>
      <c r="Y73"/>
      <c r="Z73"/>
    </row>
    <row r="74" spans="13:31" x14ac:dyDescent="0.2">
      <c r="M74" s="1302">
        <f t="shared" si="1"/>
        <v>0.65000000000000036</v>
      </c>
      <c r="N74" s="1287">
        <f t="shared" si="5"/>
        <v>0.94250745547383585</v>
      </c>
      <c r="P74"/>
      <c r="Q74" s="1281" t="s">
        <v>332</v>
      </c>
      <c r="R74" s="1281">
        <v>0.99449967320782939</v>
      </c>
      <c r="S74"/>
      <c r="T74"/>
      <c r="U74"/>
      <c r="V74"/>
      <c r="W74"/>
      <c r="X74"/>
      <c r="Y74"/>
      <c r="Z74"/>
    </row>
    <row r="75" spans="13:31" x14ac:dyDescent="0.2">
      <c r="M75" s="1302">
        <f t="shared" si="1"/>
        <v>0.66000000000000036</v>
      </c>
      <c r="N75" s="1287">
        <f t="shared" si="5"/>
        <v>0.95197135907101305</v>
      </c>
      <c r="P75"/>
      <c r="Q75" s="1281" t="s">
        <v>333</v>
      </c>
      <c r="R75" s="1281">
        <v>0.98902960001047946</v>
      </c>
      <c r="S75"/>
      <c r="T75"/>
      <c r="U75"/>
      <c r="V75"/>
      <c r="W75"/>
      <c r="X75"/>
      <c r="Y75"/>
      <c r="Z75"/>
    </row>
    <row r="76" spans="13:31" x14ac:dyDescent="0.2">
      <c r="M76" s="1302">
        <f t="shared" ref="M76:M109" si="6">M75+0.01</f>
        <v>0.67000000000000037</v>
      </c>
      <c r="N76" s="1287">
        <f t="shared" si="5"/>
        <v>0.96021157984875782</v>
      </c>
      <c r="P76"/>
      <c r="Q76" s="1281" t="s">
        <v>334</v>
      </c>
      <c r="R76" s="1281">
        <v>0.98720120001222611</v>
      </c>
      <c r="S76"/>
      <c r="T76"/>
      <c r="U76"/>
      <c r="V76"/>
      <c r="W76"/>
      <c r="X76"/>
      <c r="Y76"/>
      <c r="Z76"/>
    </row>
    <row r="77" spans="13:31" x14ac:dyDescent="0.2">
      <c r="M77" s="1302">
        <f t="shared" si="6"/>
        <v>0.68000000000000038</v>
      </c>
      <c r="N77" s="1287">
        <f t="shared" si="5"/>
        <v>0.96732091996204717</v>
      </c>
      <c r="P77"/>
      <c r="Q77" s="1281" t="s">
        <v>335</v>
      </c>
      <c r="R77" s="1281">
        <v>1099.8062500724445</v>
      </c>
      <c r="S77"/>
      <c r="T77"/>
      <c r="U77"/>
      <c r="V77"/>
      <c r="W77"/>
      <c r="X77"/>
      <c r="Y77"/>
      <c r="Z77"/>
    </row>
    <row r="78" spans="13:31" ht="13.5" thickBot="1" x14ac:dyDescent="0.25">
      <c r="M78" s="1302">
        <f t="shared" si="6"/>
        <v>0.69000000000000039</v>
      </c>
      <c r="N78" s="1287">
        <f t="shared" si="5"/>
        <v>0.97339721474921714</v>
      </c>
      <c r="P78"/>
      <c r="Q78" s="1279" t="s">
        <v>336</v>
      </c>
      <c r="R78" s="1279">
        <v>8</v>
      </c>
      <c r="S78"/>
      <c r="T78"/>
      <c r="U78"/>
      <c r="V78"/>
      <c r="W78"/>
      <c r="X78"/>
      <c r="Y78"/>
      <c r="Z78"/>
    </row>
    <row r="79" spans="13:31" x14ac:dyDescent="0.2">
      <c r="M79" s="1302">
        <f t="shared" si="6"/>
        <v>0.7000000000000004</v>
      </c>
      <c r="N79" s="1287">
        <f t="shared" si="5"/>
        <v>0.97854076091991982</v>
      </c>
      <c r="P79"/>
      <c r="Q79"/>
      <c r="R79"/>
      <c r="S79"/>
      <c r="T79"/>
      <c r="U79"/>
      <c r="V79"/>
      <c r="W79"/>
      <c r="X79"/>
      <c r="Y79"/>
      <c r="Z79"/>
    </row>
    <row r="80" spans="13:31" ht="13.5" thickBot="1" x14ac:dyDescent="0.25">
      <c r="M80" s="1302">
        <f t="shared" si="6"/>
        <v>0.71000000000000041</v>
      </c>
      <c r="N80" s="1287">
        <f t="shared" si="5"/>
        <v>0.9828519181996197</v>
      </c>
      <c r="P80"/>
      <c r="Q80" t="s">
        <v>337</v>
      </c>
      <c r="R80"/>
      <c r="S80"/>
      <c r="T80"/>
      <c r="U80"/>
      <c r="V80"/>
      <c r="W80"/>
      <c r="X80"/>
      <c r="Y80"/>
      <c r="Z80"/>
    </row>
    <row r="81" spans="13:26" x14ac:dyDescent="0.2">
      <c r="M81" s="1302">
        <f t="shared" si="6"/>
        <v>0.72000000000000042</v>
      </c>
      <c r="N81" s="1287">
        <f t="shared" si="5"/>
        <v>0.98642895717144563</v>
      </c>
      <c r="P81"/>
      <c r="Q81" s="1280"/>
      <c r="R81" s="1280" t="s">
        <v>341</v>
      </c>
      <c r="S81" s="1280" t="s">
        <v>342</v>
      </c>
      <c r="T81" s="1280" t="s">
        <v>343</v>
      </c>
      <c r="U81" s="1280" t="s">
        <v>344</v>
      </c>
      <c r="V81" s="1280" t="s">
        <v>345</v>
      </c>
      <c r="W81"/>
      <c r="X81"/>
      <c r="Y81"/>
      <c r="Z81"/>
    </row>
    <row r="82" spans="13:26" x14ac:dyDescent="0.2">
      <c r="M82" s="1302">
        <f t="shared" si="6"/>
        <v>0.73000000000000043</v>
      </c>
      <c r="N82" s="1287">
        <f t="shared" si="5"/>
        <v>0.98936620944626497</v>
      </c>
      <c r="P82"/>
      <c r="Q82" s="1281" t="s">
        <v>338</v>
      </c>
      <c r="R82" s="1281">
        <v>1</v>
      </c>
      <c r="S82" s="1281">
        <v>654290243.14880955</v>
      </c>
      <c r="T82" s="1281">
        <v>654290243.14880955</v>
      </c>
      <c r="U82" s="1281">
        <v>540.92627486066692</v>
      </c>
      <c r="V82" s="1281">
        <v>4.1429738325697967E-7</v>
      </c>
      <c r="W82"/>
      <c r="X82"/>
      <c r="Y82"/>
      <c r="Z82"/>
    </row>
    <row r="83" spans="13:26" x14ac:dyDescent="0.2">
      <c r="M83" s="1302">
        <f t="shared" si="6"/>
        <v>0.74000000000000044</v>
      </c>
      <c r="N83" s="1287">
        <f t="shared" si="5"/>
        <v>0.99175255777467719</v>
      </c>
      <c r="P83"/>
      <c r="Q83" s="1281" t="s">
        <v>339</v>
      </c>
      <c r="R83" s="1281">
        <v>6</v>
      </c>
      <c r="S83" s="1281">
        <v>7257442.7261904757</v>
      </c>
      <c r="T83" s="1281">
        <v>1209573.7876984125</v>
      </c>
      <c r="U83" s="1281"/>
      <c r="V83" s="1281"/>
      <c r="W83"/>
      <c r="X83"/>
      <c r="Y83"/>
      <c r="Z83"/>
    </row>
    <row r="84" spans="13:26" ht="13.5" thickBot="1" x14ac:dyDescent="0.25">
      <c r="M84" s="1302">
        <f t="shared" si="6"/>
        <v>0.75000000000000044</v>
      </c>
      <c r="N84" s="1287">
        <f t="shared" si="5"/>
        <v>0.99367028457251438</v>
      </c>
      <c r="P84"/>
      <c r="Q84" s="1279" t="s">
        <v>18</v>
      </c>
      <c r="R84" s="1279">
        <v>7</v>
      </c>
      <c r="S84" s="1279">
        <v>661547685.875</v>
      </c>
      <c r="T84" s="1279"/>
      <c r="U84" s="1279"/>
      <c r="V84" s="1279"/>
      <c r="W84"/>
      <c r="X84"/>
      <c r="Y84"/>
      <c r="Z84"/>
    </row>
    <row r="85" spans="13:26" ht="13.5" thickBot="1" x14ac:dyDescent="0.25">
      <c r="M85" s="1302">
        <f t="shared" si="6"/>
        <v>0.76000000000000045</v>
      </c>
      <c r="N85" s="1287">
        <f t="shared" si="5"/>
        <v>0.9951942788280157</v>
      </c>
      <c r="P85"/>
      <c r="Q85"/>
      <c r="R85"/>
      <c r="S85"/>
      <c r="T85"/>
      <c r="U85"/>
      <c r="V85"/>
      <c r="W85"/>
      <c r="X85"/>
      <c r="Y85"/>
      <c r="Z85"/>
    </row>
    <row r="86" spans="13:26" x14ac:dyDescent="0.2">
      <c r="M86" s="1302">
        <f t="shared" si="6"/>
        <v>0.77000000000000046</v>
      </c>
      <c r="N86" s="1287">
        <f t="shared" si="5"/>
        <v>0.9963915846347442</v>
      </c>
      <c r="P86"/>
      <c r="Q86" s="1280"/>
      <c r="R86" s="1280" t="s">
        <v>346</v>
      </c>
      <c r="S86" s="1280" t="s">
        <v>335</v>
      </c>
      <c r="T86" s="1280" t="s">
        <v>347</v>
      </c>
      <c r="U86" s="1280" t="s">
        <v>348</v>
      </c>
      <c r="V86" s="1280" t="s">
        <v>349</v>
      </c>
      <c r="W86" s="1280" t="s">
        <v>350</v>
      </c>
      <c r="X86" s="1280" t="s">
        <v>351</v>
      </c>
      <c r="Y86" s="1280" t="s">
        <v>352</v>
      </c>
      <c r="Z86"/>
    </row>
    <row r="87" spans="13:26" x14ac:dyDescent="0.2">
      <c r="M87" s="1302">
        <f t="shared" si="6"/>
        <v>0.78000000000000047</v>
      </c>
      <c r="N87" s="1287">
        <f t="shared" si="5"/>
        <v>0.99732126057789017</v>
      </c>
      <c r="P87"/>
      <c r="Q87" s="1281" t="s">
        <v>340</v>
      </c>
      <c r="R87" s="1281">
        <v>-7935707.4642857136</v>
      </c>
      <c r="S87" s="1281">
        <v>341868.5034598693</v>
      </c>
      <c r="T87" s="1281">
        <v>-23.212748129683312</v>
      </c>
      <c r="U87" s="1281">
        <v>4.1910075053613936E-7</v>
      </c>
      <c r="V87" s="1281">
        <v>-8772229.5569348633</v>
      </c>
      <c r="W87" s="1281">
        <v>-7099185.3716365639</v>
      </c>
      <c r="X87" s="1281">
        <v>-8772229.5569348633</v>
      </c>
      <c r="Y87" s="1281">
        <v>-7099185.3716365639</v>
      </c>
      <c r="Z87"/>
    </row>
    <row r="88" spans="13:26" ht="13.5" thickBot="1" x14ac:dyDescent="0.25">
      <c r="M88" s="1302">
        <f t="shared" si="6"/>
        <v>0.79000000000000048</v>
      </c>
      <c r="N88" s="1287">
        <f t="shared" si="5"/>
        <v>0.99803450854380882</v>
      </c>
      <c r="P88"/>
      <c r="Q88" s="1279" t="s">
        <v>353</v>
      </c>
      <c r="R88" s="1279">
        <v>3946.9404761904757</v>
      </c>
      <c r="S88" s="1279">
        <v>169.70378869542441</v>
      </c>
      <c r="T88" s="1279">
        <v>23.257821799572433</v>
      </c>
      <c r="U88" s="1279">
        <v>4.1429738325698041E-7</v>
      </c>
      <c r="V88" s="1279">
        <v>3531.6902644474399</v>
      </c>
      <c r="W88" s="1279">
        <v>4362.1906879335111</v>
      </c>
      <c r="X88" s="1279">
        <v>3531.6902644474399</v>
      </c>
      <c r="Y88" s="1279">
        <v>4362.1906879335111</v>
      </c>
      <c r="Z88"/>
    </row>
    <row r="89" spans="13:26" x14ac:dyDescent="0.2">
      <c r="M89" s="1302">
        <f t="shared" si="6"/>
        <v>0.80000000000000049</v>
      </c>
      <c r="N89" s="1287">
        <f t="shared" si="5"/>
        <v>0.99857502356180761</v>
      </c>
      <c r="P89"/>
      <c r="Q89"/>
      <c r="R89"/>
      <c r="S89"/>
      <c r="T89"/>
      <c r="U89"/>
      <c r="V89"/>
      <c r="W89"/>
      <c r="X89"/>
      <c r="Y89"/>
      <c r="Z89"/>
    </row>
    <row r="90" spans="13:26" x14ac:dyDescent="0.2">
      <c r="M90" s="1302">
        <f t="shared" si="6"/>
        <v>0.8100000000000005</v>
      </c>
      <c r="N90" s="1287">
        <f t="shared" si="5"/>
        <v>0.99897951304628008</v>
      </c>
      <c r="Q90"/>
      <c r="R90"/>
      <c r="S90"/>
      <c r="T90"/>
      <c r="U90"/>
      <c r="V90"/>
      <c r="W90"/>
      <c r="X90"/>
      <c r="Y90"/>
    </row>
    <row r="91" spans="13:26" x14ac:dyDescent="0.2">
      <c r="M91" s="1302">
        <f t="shared" si="6"/>
        <v>0.82000000000000051</v>
      </c>
      <c r="N91" s="1287">
        <f t="shared" si="5"/>
        <v>0.99927833402166177</v>
      </c>
      <c r="Q91"/>
      <c r="R91"/>
      <c r="S91"/>
      <c r="T91"/>
      <c r="U91"/>
      <c r="V91"/>
      <c r="W91"/>
      <c r="X91"/>
      <c r="Y91"/>
    </row>
    <row r="92" spans="13:26" x14ac:dyDescent="0.2">
      <c r="M92" s="1302">
        <f t="shared" si="6"/>
        <v>0.83000000000000052</v>
      </c>
      <c r="N92" s="1287">
        <f t="shared" si="5"/>
        <v>0.99949620008360773</v>
      </c>
    </row>
    <row r="93" spans="13:26" x14ac:dyDescent="0.2">
      <c r="M93" s="1302">
        <f t="shared" si="6"/>
        <v>0.84000000000000052</v>
      </c>
      <c r="N93" s="1287">
        <f t="shared" si="5"/>
        <v>0.99965291531541611</v>
      </c>
      <c r="Q93" t="s">
        <v>330</v>
      </c>
      <c r="R93"/>
      <c r="S93"/>
      <c r="T93"/>
      <c r="U93"/>
      <c r="V93"/>
      <c r="W93"/>
      <c r="X93"/>
      <c r="Y93"/>
    </row>
    <row r="94" spans="13:26" ht="13.5" thickBot="1" x14ac:dyDescent="0.25">
      <c r="M94" s="1302">
        <f t="shared" si="6"/>
        <v>0.85000000000000053</v>
      </c>
      <c r="N94" s="1287">
        <f t="shared" si="5"/>
        <v>0.99976409939337041</v>
      </c>
      <c r="Q94"/>
      <c r="R94"/>
      <c r="S94"/>
      <c r="T94"/>
      <c r="U94"/>
      <c r="V94"/>
      <c r="W94"/>
      <c r="X94"/>
      <c r="Y94"/>
    </row>
    <row r="95" spans="13:26" x14ac:dyDescent="0.2">
      <c r="M95" s="1302">
        <f t="shared" si="6"/>
        <v>0.86000000000000054</v>
      </c>
      <c r="N95" s="1287">
        <f t="shared" si="5"/>
        <v>0.9998418759268497</v>
      </c>
      <c r="Q95" s="1282" t="s">
        <v>331</v>
      </c>
      <c r="R95" s="1282"/>
      <c r="S95"/>
      <c r="T95"/>
      <c r="U95"/>
      <c r="V95"/>
      <c r="W95"/>
      <c r="X95"/>
      <c r="Y95"/>
    </row>
    <row r="96" spans="13:26" x14ac:dyDescent="0.2">
      <c r="M96" s="1302">
        <f t="shared" si="6"/>
        <v>0.87000000000000055</v>
      </c>
      <c r="N96" s="1287">
        <f t="shared" si="5"/>
        <v>0.999895503999498</v>
      </c>
      <c r="Q96" s="1281" t="s">
        <v>332</v>
      </c>
      <c r="R96" s="1281">
        <v>0.99269784439834385</v>
      </c>
      <c r="S96"/>
      <c r="T96"/>
      <c r="U96"/>
      <c r="V96"/>
      <c r="W96"/>
      <c r="X96"/>
      <c r="Y96"/>
    </row>
    <row r="97" spans="13:25" x14ac:dyDescent="0.2">
      <c r="M97" s="1302">
        <f t="shared" si="6"/>
        <v>0.88000000000000056</v>
      </c>
      <c r="N97" s="1287">
        <f t="shared" si="5"/>
        <v>0.99993194033152688</v>
      </c>
      <c r="Q97" s="1281" t="s">
        <v>333</v>
      </c>
      <c r="R97" s="1281">
        <v>0.98544901027311849</v>
      </c>
      <c r="S97"/>
      <c r="T97"/>
      <c r="U97"/>
      <c r="V97"/>
      <c r="W97"/>
      <c r="X97"/>
      <c r="Y97"/>
    </row>
    <row r="98" spans="13:25" x14ac:dyDescent="0.2">
      <c r="M98" s="1302">
        <f t="shared" si="6"/>
        <v>0.89000000000000057</v>
      </c>
      <c r="N98" s="1287">
        <f t="shared" si="5"/>
        <v>0.99995632604198814</v>
      </c>
      <c r="Q98" s="1281" t="s">
        <v>334</v>
      </c>
      <c r="R98" s="1281">
        <v>0.9833702974549926</v>
      </c>
      <c r="S98"/>
      <c r="T98"/>
      <c r="U98"/>
      <c r="V98"/>
      <c r="W98"/>
      <c r="X98"/>
      <c r="Y98"/>
    </row>
    <row r="99" spans="13:25" x14ac:dyDescent="0.2">
      <c r="M99" s="1302">
        <f t="shared" si="6"/>
        <v>0.90000000000000058</v>
      </c>
      <c r="N99" s="1287">
        <f t="shared" si="5"/>
        <v>0.99997239738380339</v>
      </c>
      <c r="Q99" s="1281" t="s">
        <v>335</v>
      </c>
      <c r="R99" s="1281">
        <v>1335.4241024233945</v>
      </c>
      <c r="S99"/>
      <c r="T99"/>
      <c r="U99"/>
      <c r="V99"/>
      <c r="W99"/>
      <c r="X99"/>
      <c r="Y99"/>
    </row>
    <row r="100" spans="13:25" ht="13.5" thickBot="1" x14ac:dyDescent="0.25">
      <c r="M100" s="1302">
        <f t="shared" si="6"/>
        <v>0.91000000000000059</v>
      </c>
      <c r="N100" s="1287">
        <f t="shared" si="5"/>
        <v>0.99998282393580651</v>
      </c>
      <c r="Q100" s="1279" t="s">
        <v>336</v>
      </c>
      <c r="R100" s="1279">
        <v>9</v>
      </c>
      <c r="S100"/>
      <c r="T100"/>
      <c r="U100"/>
      <c r="V100"/>
      <c r="W100"/>
      <c r="X100"/>
      <c r="Y100"/>
    </row>
    <row r="101" spans="13:25" x14ac:dyDescent="0.2">
      <c r="M101" s="1302">
        <f t="shared" si="6"/>
        <v>0.9200000000000006</v>
      </c>
      <c r="N101" s="1287">
        <f t="shared" si="5"/>
        <v>0.99998948057868242</v>
      </c>
      <c r="Q101"/>
      <c r="R101"/>
      <c r="S101"/>
      <c r="T101"/>
      <c r="U101"/>
      <c r="V101"/>
      <c r="W101"/>
      <c r="X101"/>
      <c r="Y101"/>
    </row>
    <row r="102" spans="13:25" ht="13.5" thickBot="1" x14ac:dyDescent="0.25">
      <c r="M102" s="1302">
        <f t="shared" si="6"/>
        <v>0.9300000000000006</v>
      </c>
      <c r="N102" s="1287">
        <f t="shared" si="5"/>
        <v>0.9999936612702216</v>
      </c>
      <c r="Q102" t="s">
        <v>337</v>
      </c>
      <c r="R102"/>
      <c r="S102"/>
      <c r="T102"/>
      <c r="U102"/>
      <c r="V102"/>
      <c r="W102"/>
      <c r="X102"/>
      <c r="Y102"/>
    </row>
    <row r="103" spans="13:25" x14ac:dyDescent="0.2">
      <c r="M103" s="1302">
        <f t="shared" si="6"/>
        <v>0.94000000000000061</v>
      </c>
      <c r="N103" s="1287">
        <f t="shared" si="5"/>
        <v>0.99999624335152093</v>
      </c>
      <c r="Q103" s="1280"/>
      <c r="R103" s="1280" t="s">
        <v>341</v>
      </c>
      <c r="S103" s="1280" t="s">
        <v>342</v>
      </c>
      <c r="T103" s="1280" t="s">
        <v>343</v>
      </c>
      <c r="U103" s="1280" t="s">
        <v>344</v>
      </c>
      <c r="V103" s="1280" t="s">
        <v>345</v>
      </c>
      <c r="W103"/>
      <c r="X103"/>
      <c r="Y103"/>
    </row>
    <row r="104" spans="13:25" x14ac:dyDescent="0.2">
      <c r="M104" s="1302">
        <f t="shared" si="6"/>
        <v>0.95000000000000062</v>
      </c>
      <c r="N104" s="1287">
        <f t="shared" si="5"/>
        <v>0.99999781107499508</v>
      </c>
      <c r="Q104" s="1281" t="s">
        <v>338</v>
      </c>
      <c r="R104" s="1281">
        <v>1</v>
      </c>
      <c r="S104" s="1281">
        <v>845430836.26666653</v>
      </c>
      <c r="T104" s="1281">
        <v>845430836.26666653</v>
      </c>
      <c r="U104" s="1281">
        <v>474.06693299825616</v>
      </c>
      <c r="V104" s="1281">
        <v>1.0877487663116294E-7</v>
      </c>
      <c r="W104"/>
      <c r="X104"/>
      <c r="Y104"/>
    </row>
    <row r="105" spans="13:25" x14ac:dyDescent="0.2">
      <c r="M105" s="1302">
        <f t="shared" si="6"/>
        <v>0.96000000000000063</v>
      </c>
      <c r="N105" s="1287">
        <f t="shared" si="5"/>
        <v>0.99999874646745956</v>
      </c>
      <c r="Q105" s="1281" t="s">
        <v>339</v>
      </c>
      <c r="R105" s="1281">
        <v>7</v>
      </c>
      <c r="S105" s="1281">
        <v>12483502.733333301</v>
      </c>
      <c r="T105" s="1281">
        <v>1783357.5333333288</v>
      </c>
      <c r="U105" s="1281"/>
      <c r="V105" s="1281"/>
      <c r="W105"/>
      <c r="X105"/>
      <c r="Y105"/>
    </row>
    <row r="106" spans="13:25" ht="13.5" thickBot="1" x14ac:dyDescent="0.25">
      <c r="M106" s="1302">
        <f t="shared" si="6"/>
        <v>0.97000000000000064</v>
      </c>
      <c r="N106" s="1287">
        <f t="shared" si="5"/>
        <v>0.99999929472988103</v>
      </c>
      <c r="Q106" s="1279" t="s">
        <v>18</v>
      </c>
      <c r="R106" s="1279">
        <v>8</v>
      </c>
      <c r="S106" s="1279">
        <v>857914338.99999988</v>
      </c>
      <c r="T106" s="1279"/>
      <c r="U106" s="1279"/>
      <c r="V106" s="1279"/>
      <c r="W106"/>
      <c r="X106"/>
      <c r="Y106"/>
    </row>
    <row r="107" spans="13:25" ht="13.5" thickBot="1" x14ac:dyDescent="0.25">
      <c r="M107" s="1302">
        <f t="shared" si="6"/>
        <v>0.98000000000000065</v>
      </c>
      <c r="N107" s="1287">
        <f t="shared" si="5"/>
        <v>0.99999961030075424</v>
      </c>
      <c r="Q107"/>
      <c r="R107"/>
      <c r="S107"/>
      <c r="T107"/>
      <c r="U107"/>
      <c r="V107"/>
      <c r="W107"/>
      <c r="X107"/>
      <c r="Y107"/>
    </row>
    <row r="108" spans="13:25" x14ac:dyDescent="0.2">
      <c r="M108" s="1302">
        <f t="shared" si="6"/>
        <v>0.99000000000000066</v>
      </c>
      <c r="N108" s="1287">
        <f t="shared" si="5"/>
        <v>0.9999997886047346</v>
      </c>
      <c r="Q108" s="1280"/>
      <c r="R108" s="1280" t="s">
        <v>346</v>
      </c>
      <c r="S108" s="1280" t="s">
        <v>335</v>
      </c>
      <c r="T108" s="1280" t="s">
        <v>347</v>
      </c>
      <c r="U108" s="1280" t="s">
        <v>348</v>
      </c>
      <c r="V108" s="1280" t="s">
        <v>349</v>
      </c>
      <c r="W108" s="1280" t="s">
        <v>350</v>
      </c>
      <c r="X108" s="1280" t="s">
        <v>351</v>
      </c>
      <c r="Y108" s="1280" t="s">
        <v>352</v>
      </c>
    </row>
    <row r="109" spans="13:25" x14ac:dyDescent="0.2">
      <c r="M109" s="1302">
        <f t="shared" si="6"/>
        <v>1.0000000000000007</v>
      </c>
      <c r="N109" s="1287">
        <f t="shared" si="5"/>
        <v>0.99999988746482527</v>
      </c>
      <c r="Q109" s="1281" t="s">
        <v>340</v>
      </c>
      <c r="R109" s="1281">
        <v>-7546266.2666666638</v>
      </c>
      <c r="S109" s="1281">
        <v>347218.94107144978</v>
      </c>
      <c r="T109" s="1281">
        <v>-21.733452222912614</v>
      </c>
      <c r="U109" s="1281">
        <v>1.1015256825256942E-7</v>
      </c>
      <c r="V109" s="1281">
        <v>-8367308.5953365797</v>
      </c>
      <c r="W109" s="1281">
        <v>-6725223.9379967479</v>
      </c>
      <c r="X109" s="1281">
        <v>-8367308.5953365797</v>
      </c>
      <c r="Y109" s="1281">
        <v>-6725223.9379967479</v>
      </c>
    </row>
    <row r="110" spans="13:25" ht="13.5" thickBot="1" x14ac:dyDescent="0.25">
      <c r="Q110" s="1279" t="s">
        <v>353</v>
      </c>
      <c r="R110" s="1279">
        <v>3753.7333333333322</v>
      </c>
      <c r="S110" s="1279">
        <v>172.40251029365982</v>
      </c>
      <c r="T110" s="1279">
        <v>21.773078170030438</v>
      </c>
      <c r="U110" s="1279">
        <v>1.0877487663116294E-7</v>
      </c>
      <c r="V110" s="1279">
        <v>3346.0661764574693</v>
      </c>
      <c r="W110" s="1279">
        <v>4161.4004902091947</v>
      </c>
      <c r="X110" s="1279">
        <v>3346.0661764574693</v>
      </c>
      <c r="Y110" s="127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dataValidations count="1">
    <dataValidation type="list" allowBlank="1" showInputMessage="1" showErrorMessage="1" sqref="J7:K7" xr:uid="{474C44A5-0FF0-45D5-B46D-39A5C7899A6D}">
      <formula1>TorF</formula1>
    </dataValidation>
  </dataValidations>
  <hyperlinks>
    <hyperlink ref="Q5" r:id="rId1" xr:uid="{00000000-0004-0000-1200-000000000000}"/>
  </hyperlinks>
  <pageMargins left="0.7" right="0.7" top="0.75" bottom="0.75" header="0.3" footer="0.3"/>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defaultRowHeight="12.75" x14ac:dyDescent="0.2"/>
  <cols>
    <col min="2" max="19" width="10.5703125" customWidth="1"/>
  </cols>
  <sheetData>
    <row r="1" spans="1:19" s="1176" customFormat="1" ht="15.75" x14ac:dyDescent="0.25">
      <c r="A1" s="1208" t="s">
        <v>327</v>
      </c>
    </row>
    <row r="2" spans="1:19" s="1176" customFormat="1" ht="15" x14ac:dyDescent="0.25"/>
    <row r="3" spans="1:19" s="1176" customFormat="1" ht="15.75" thickBot="1" x14ac:dyDescent="0.3"/>
    <row r="4" spans="1:19" s="1176" customFormat="1" ht="15" x14ac:dyDescent="0.25">
      <c r="A4" s="1177"/>
      <c r="B4" s="1595" t="s">
        <v>249</v>
      </c>
      <c r="C4" s="1596"/>
      <c r="D4" s="1596"/>
      <c r="E4" s="1596"/>
      <c r="F4" s="1596"/>
      <c r="G4" s="1597"/>
      <c r="H4" s="1595" t="s">
        <v>250</v>
      </c>
      <c r="I4" s="1596"/>
      <c r="J4" s="1596"/>
      <c r="K4" s="1596"/>
      <c r="L4" s="1596"/>
      <c r="M4" s="1597"/>
      <c r="N4" s="1595" t="s">
        <v>154</v>
      </c>
      <c r="O4" s="1596"/>
      <c r="P4" s="1596"/>
      <c r="Q4" s="1596"/>
      <c r="R4" s="1596"/>
      <c r="S4" s="1597"/>
    </row>
    <row r="5" spans="1:19" s="1176" customFormat="1" ht="15" x14ac:dyDescent="0.25">
      <c r="A5" s="1178"/>
      <c r="B5" s="1598" t="s">
        <v>129</v>
      </c>
      <c r="C5" s="1599"/>
      <c r="D5" s="1599"/>
      <c r="E5" s="1599"/>
      <c r="F5" s="1599"/>
      <c r="G5" s="1600"/>
      <c r="H5" s="1598" t="s">
        <v>129</v>
      </c>
      <c r="I5" s="1599"/>
      <c r="J5" s="1599"/>
      <c r="K5" s="1599"/>
      <c r="L5" s="1599"/>
      <c r="M5" s="1600"/>
      <c r="N5" s="1598" t="s">
        <v>129</v>
      </c>
      <c r="O5" s="1599"/>
      <c r="P5" s="1599"/>
      <c r="Q5" s="1599"/>
      <c r="R5" s="1599"/>
      <c r="S5" s="1600"/>
    </row>
    <row r="6" spans="1:19" s="1176" customFormat="1" ht="15" x14ac:dyDescent="0.25">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s="1176" customFormat="1" ht="45" x14ac:dyDescent="0.25">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s="1176" customFormat="1" ht="15.75" thickBot="1" x14ac:dyDescent="0.3">
      <c r="A8" s="1186" t="s">
        <v>3</v>
      </c>
      <c r="B8" s="1187" t="str">
        <f t="shared" ref="B8:G8" si="3">INDEX(TECH_OPT_FUEL1_Cls1,MATCH(B6,TECH_OPT_ROWS_Cls1,0))</f>
        <v>Diesel</v>
      </c>
      <c r="C8" s="1188" t="str">
        <f t="shared" si="3"/>
        <v>Diesel</v>
      </c>
      <c r="D8" s="1188" t="str">
        <f t="shared" si="3"/>
        <v>Diesel</v>
      </c>
      <c r="E8" s="1188" t="str">
        <f t="shared" si="3"/>
        <v>Electricity</v>
      </c>
      <c r="F8" s="1188" t="str">
        <f t="shared" si="3"/>
        <v>Hydrogen</v>
      </c>
      <c r="G8" s="1189" t="str">
        <f t="shared" si="3"/>
        <v>Diesel</v>
      </c>
      <c r="H8" s="1190" t="str">
        <f t="shared" ref="H8:M8" si="4">INDEX(TECH_OPT_FUEL1_Cls2,MATCH(H6,TECH_OPT_ROWS_Cls2,0))</f>
        <v>Diesel</v>
      </c>
      <c r="I8" s="1188" t="str">
        <f t="shared" si="4"/>
        <v>Diesel</v>
      </c>
      <c r="J8" s="1188" t="str">
        <f t="shared" si="4"/>
        <v>Diesel</v>
      </c>
      <c r="K8" s="1188" t="str">
        <f t="shared" si="4"/>
        <v>Electricity</v>
      </c>
      <c r="L8" s="1188" t="str">
        <f t="shared" si="4"/>
        <v>Hydrogen</v>
      </c>
      <c r="M8" s="1189" t="str">
        <f t="shared" si="4"/>
        <v>Diesel</v>
      </c>
      <c r="N8" s="1187" t="str">
        <f t="shared" ref="N8:S8" si="5">INDEX(TECH_OPT_FUEL1_Cls3,MATCH(N6,TECH_OPT_ROWS_Cls3,0))</f>
        <v>Diesel</v>
      </c>
      <c r="O8" s="1188" t="str">
        <f t="shared" si="5"/>
        <v>Diesel</v>
      </c>
      <c r="P8" s="1188" t="str">
        <f t="shared" si="5"/>
        <v>Diesel</v>
      </c>
      <c r="Q8" s="1188" t="str">
        <f t="shared" si="5"/>
        <v>Electricity</v>
      </c>
      <c r="R8" s="1188" t="str">
        <f t="shared" si="5"/>
        <v>Hydrogen</v>
      </c>
      <c r="S8" s="1189" t="str">
        <f t="shared" si="5"/>
        <v>Diesel</v>
      </c>
    </row>
    <row r="9" spans="1:19" s="1176" customFormat="1" ht="15.75" thickTop="1" x14ac:dyDescent="0.25">
      <c r="A9" s="1191">
        <v>2007</v>
      </c>
      <c r="B9" s="1262">
        <f t="shared" ref="B9:B52" si="6">INDEX(COST_Cls1,MATCH($A9,Years,0),MATCH(B$6,TECHOPTS_Cls1,0))</f>
        <v>151412</v>
      </c>
      <c r="C9" s="1263">
        <f t="shared" ref="C9:G18" si="7">$B9+INDEX(COST_Cls1,MATCH($A9,Years,0),MATCH(C$6,TECHOPTS_Cls1,0))</f>
        <v>1151412</v>
      </c>
      <c r="D9" s="1263">
        <f t="shared" si="7"/>
        <v>1151412</v>
      </c>
      <c r="E9" s="1263">
        <f t="shared" si="7"/>
        <v>1151412</v>
      </c>
      <c r="F9" s="1263">
        <f t="shared" si="7"/>
        <v>1151412</v>
      </c>
      <c r="G9" s="1263">
        <f t="shared" si="7"/>
        <v>1151412</v>
      </c>
      <c r="H9" s="1262">
        <f t="shared" ref="H9:H52" si="8">INDEX(COST_Cls2,MATCH($A9,Years,0),MATCH(H$6,TECHOPTS_Cls1,0))</f>
        <v>138005</v>
      </c>
      <c r="I9" s="1263">
        <f t="shared" ref="I9:M18" si="9">$B9+INDEX(COST_Cls2,MATCH($A9,Years,0),MATCH(I$6,TECHOPTS_Cls1,0))</f>
        <v>1151412</v>
      </c>
      <c r="J9" s="1263">
        <f t="shared" si="9"/>
        <v>1151412</v>
      </c>
      <c r="K9" s="1263">
        <f t="shared" si="9"/>
        <v>1151412</v>
      </c>
      <c r="L9" s="1263">
        <f t="shared" si="9"/>
        <v>1151412</v>
      </c>
      <c r="M9" s="1264">
        <f t="shared" si="9"/>
        <v>1151412</v>
      </c>
      <c r="N9" s="1262">
        <f t="shared" ref="N9:N52" si="10">INDEX(COST_Cls3,MATCH($A9,Years,0),MATCH(N$6,TECHOPTS_Cls1,0))</f>
        <v>81898</v>
      </c>
      <c r="O9" s="1263">
        <f t="shared" ref="O9:S18" si="11">$B9+INDEX(COST_Cls3,MATCH($A9,Years,0),MATCH(O$6,TECHOPTS_Cls1,0))</f>
        <v>1151412</v>
      </c>
      <c r="P9" s="1263">
        <f t="shared" si="11"/>
        <v>1151412</v>
      </c>
      <c r="Q9" s="1263">
        <f t="shared" si="11"/>
        <v>1151412</v>
      </c>
      <c r="R9" s="1263">
        <f t="shared" si="11"/>
        <v>1151412</v>
      </c>
      <c r="S9" s="1264">
        <f t="shared" si="11"/>
        <v>1151412</v>
      </c>
    </row>
    <row r="10" spans="1:19" s="1176" customFormat="1" ht="15" x14ac:dyDescent="0.25">
      <c r="A10" s="1191">
        <v>2008</v>
      </c>
      <c r="B10" s="1262">
        <f t="shared" si="6"/>
        <v>151412</v>
      </c>
      <c r="C10" s="1265">
        <f t="shared" si="7"/>
        <v>1151412</v>
      </c>
      <c r="D10" s="1265">
        <f t="shared" si="7"/>
        <v>1151412</v>
      </c>
      <c r="E10" s="1265">
        <f t="shared" si="7"/>
        <v>1151412</v>
      </c>
      <c r="F10" s="1265">
        <f t="shared" si="7"/>
        <v>1151412</v>
      </c>
      <c r="G10" s="1266">
        <f t="shared" si="7"/>
        <v>1151412</v>
      </c>
      <c r="H10" s="1262">
        <f t="shared" si="8"/>
        <v>138005</v>
      </c>
      <c r="I10" s="1265">
        <f t="shared" si="9"/>
        <v>1151412</v>
      </c>
      <c r="J10" s="1265">
        <f t="shared" si="9"/>
        <v>1151412</v>
      </c>
      <c r="K10" s="1265">
        <f t="shared" si="9"/>
        <v>1151412</v>
      </c>
      <c r="L10" s="1265">
        <f t="shared" si="9"/>
        <v>1151412</v>
      </c>
      <c r="M10" s="1266">
        <f t="shared" si="9"/>
        <v>1151412</v>
      </c>
      <c r="N10" s="1262">
        <f t="shared" si="10"/>
        <v>81898</v>
      </c>
      <c r="O10" s="1265">
        <f t="shared" si="11"/>
        <v>1151412</v>
      </c>
      <c r="P10" s="1265">
        <f t="shared" si="11"/>
        <v>1151412</v>
      </c>
      <c r="Q10" s="1265">
        <f t="shared" si="11"/>
        <v>1151412</v>
      </c>
      <c r="R10" s="1265">
        <f t="shared" si="11"/>
        <v>1151412</v>
      </c>
      <c r="S10" s="1266">
        <f t="shared" si="11"/>
        <v>1151412</v>
      </c>
    </row>
    <row r="11" spans="1:19" s="1176" customFormat="1" ht="15" x14ac:dyDescent="0.25">
      <c r="A11" s="1191">
        <v>2009</v>
      </c>
      <c r="B11" s="1262">
        <f t="shared" si="6"/>
        <v>151412</v>
      </c>
      <c r="C11" s="1265">
        <f t="shared" si="7"/>
        <v>1151412</v>
      </c>
      <c r="D11" s="1265">
        <f t="shared" si="7"/>
        <v>1151412</v>
      </c>
      <c r="E11" s="1265">
        <f t="shared" si="7"/>
        <v>1151412</v>
      </c>
      <c r="F11" s="1265">
        <f t="shared" si="7"/>
        <v>1151412</v>
      </c>
      <c r="G11" s="1266">
        <f t="shared" si="7"/>
        <v>1151412</v>
      </c>
      <c r="H11" s="1262">
        <f t="shared" si="8"/>
        <v>138005</v>
      </c>
      <c r="I11" s="1265">
        <f t="shared" si="9"/>
        <v>1151412</v>
      </c>
      <c r="J11" s="1265">
        <f t="shared" si="9"/>
        <v>1151412</v>
      </c>
      <c r="K11" s="1265">
        <f t="shared" si="9"/>
        <v>1151412</v>
      </c>
      <c r="L11" s="1265">
        <f t="shared" si="9"/>
        <v>1151412</v>
      </c>
      <c r="M11" s="1266">
        <f t="shared" si="9"/>
        <v>1151412</v>
      </c>
      <c r="N11" s="1262">
        <f t="shared" si="10"/>
        <v>81898</v>
      </c>
      <c r="O11" s="1265">
        <f t="shared" si="11"/>
        <v>1151412</v>
      </c>
      <c r="P11" s="1265">
        <f t="shared" si="11"/>
        <v>1151412</v>
      </c>
      <c r="Q11" s="1265">
        <f t="shared" si="11"/>
        <v>1151412</v>
      </c>
      <c r="R11" s="1265">
        <f t="shared" si="11"/>
        <v>1151412</v>
      </c>
      <c r="S11" s="1266">
        <f t="shared" si="11"/>
        <v>1151412</v>
      </c>
    </row>
    <row r="12" spans="1:19" s="1176" customFormat="1" ht="15" x14ac:dyDescent="0.25">
      <c r="A12" s="1197">
        <v>2010</v>
      </c>
      <c r="B12" s="1267">
        <f t="shared" si="6"/>
        <v>151412</v>
      </c>
      <c r="C12" s="1268">
        <f t="shared" si="7"/>
        <v>1151412</v>
      </c>
      <c r="D12" s="1268">
        <f t="shared" si="7"/>
        <v>1151412</v>
      </c>
      <c r="E12" s="1268">
        <f t="shared" si="7"/>
        <v>1151412</v>
      </c>
      <c r="F12" s="1268">
        <f t="shared" si="7"/>
        <v>1151412</v>
      </c>
      <c r="G12" s="1269">
        <f t="shared" si="7"/>
        <v>1151412</v>
      </c>
      <c r="H12" s="1267">
        <f t="shared" si="8"/>
        <v>138005</v>
      </c>
      <c r="I12" s="1268">
        <f t="shared" si="9"/>
        <v>1151412</v>
      </c>
      <c r="J12" s="1268">
        <f t="shared" si="9"/>
        <v>1151412</v>
      </c>
      <c r="K12" s="1268">
        <f t="shared" si="9"/>
        <v>1151412</v>
      </c>
      <c r="L12" s="1268">
        <f t="shared" si="9"/>
        <v>1151412</v>
      </c>
      <c r="M12" s="1269">
        <f t="shared" si="9"/>
        <v>1151412</v>
      </c>
      <c r="N12" s="1267">
        <f t="shared" si="10"/>
        <v>81898</v>
      </c>
      <c r="O12" s="1268">
        <f t="shared" si="11"/>
        <v>1151412</v>
      </c>
      <c r="P12" s="1268">
        <f t="shared" si="11"/>
        <v>1151412</v>
      </c>
      <c r="Q12" s="1268">
        <f t="shared" si="11"/>
        <v>1151412</v>
      </c>
      <c r="R12" s="1268">
        <f t="shared" si="11"/>
        <v>1151412</v>
      </c>
      <c r="S12" s="1269">
        <f t="shared" si="11"/>
        <v>1151412</v>
      </c>
    </row>
    <row r="13" spans="1:19" s="1176" customFormat="1" ht="15" x14ac:dyDescent="0.25">
      <c r="A13" s="1191">
        <v>2011</v>
      </c>
      <c r="B13" s="1270">
        <f t="shared" si="6"/>
        <v>151412</v>
      </c>
      <c r="C13" s="1271">
        <f t="shared" si="7"/>
        <v>1151412</v>
      </c>
      <c r="D13" s="1271">
        <f t="shared" si="7"/>
        <v>1151412</v>
      </c>
      <c r="E13" s="1271">
        <f t="shared" si="7"/>
        <v>1151412</v>
      </c>
      <c r="F13" s="1271">
        <f t="shared" si="7"/>
        <v>1151412</v>
      </c>
      <c r="G13" s="1272">
        <f t="shared" si="7"/>
        <v>1151412</v>
      </c>
      <c r="H13" s="1270">
        <f t="shared" si="8"/>
        <v>138005</v>
      </c>
      <c r="I13" s="1271">
        <f t="shared" si="9"/>
        <v>1151412</v>
      </c>
      <c r="J13" s="1271">
        <f t="shared" si="9"/>
        <v>1151412</v>
      </c>
      <c r="K13" s="1271">
        <f t="shared" si="9"/>
        <v>1151412</v>
      </c>
      <c r="L13" s="1271">
        <f t="shared" si="9"/>
        <v>1151412</v>
      </c>
      <c r="M13" s="1272">
        <f t="shared" si="9"/>
        <v>1151412</v>
      </c>
      <c r="N13" s="1270">
        <f t="shared" si="10"/>
        <v>81898</v>
      </c>
      <c r="O13" s="1271">
        <f t="shared" si="11"/>
        <v>1151412</v>
      </c>
      <c r="P13" s="1271">
        <f t="shared" si="11"/>
        <v>1151412</v>
      </c>
      <c r="Q13" s="1271">
        <f t="shared" si="11"/>
        <v>1151412</v>
      </c>
      <c r="R13" s="1271">
        <f t="shared" si="11"/>
        <v>1151412</v>
      </c>
      <c r="S13" s="1272">
        <f t="shared" si="11"/>
        <v>1151412</v>
      </c>
    </row>
    <row r="14" spans="1:19" s="1176" customFormat="1" ht="15" x14ac:dyDescent="0.25">
      <c r="A14" s="1191">
        <v>2012</v>
      </c>
      <c r="B14" s="1262">
        <f t="shared" si="6"/>
        <v>151412</v>
      </c>
      <c r="C14" s="1265">
        <f t="shared" si="7"/>
        <v>1151412</v>
      </c>
      <c r="D14" s="1265">
        <f t="shared" si="7"/>
        <v>1151412</v>
      </c>
      <c r="E14" s="1265">
        <f t="shared" si="7"/>
        <v>1151412</v>
      </c>
      <c r="F14" s="1265">
        <f t="shared" si="7"/>
        <v>1151412</v>
      </c>
      <c r="G14" s="1266">
        <f t="shared" si="7"/>
        <v>1151412</v>
      </c>
      <c r="H14" s="1262">
        <f t="shared" si="8"/>
        <v>138005</v>
      </c>
      <c r="I14" s="1265">
        <f t="shared" si="9"/>
        <v>1151412</v>
      </c>
      <c r="J14" s="1265">
        <f t="shared" si="9"/>
        <v>1151412</v>
      </c>
      <c r="K14" s="1265">
        <f t="shared" si="9"/>
        <v>1151412</v>
      </c>
      <c r="L14" s="1265">
        <f t="shared" si="9"/>
        <v>1151412</v>
      </c>
      <c r="M14" s="1266">
        <f t="shared" si="9"/>
        <v>1151412</v>
      </c>
      <c r="N14" s="1262">
        <f t="shared" si="10"/>
        <v>81898</v>
      </c>
      <c r="O14" s="1265">
        <f t="shared" si="11"/>
        <v>1151412</v>
      </c>
      <c r="P14" s="1265">
        <f t="shared" si="11"/>
        <v>1151412</v>
      </c>
      <c r="Q14" s="1265">
        <f t="shared" si="11"/>
        <v>1151412</v>
      </c>
      <c r="R14" s="1265">
        <f t="shared" si="11"/>
        <v>1151412</v>
      </c>
      <c r="S14" s="1266">
        <f t="shared" si="11"/>
        <v>1151412</v>
      </c>
    </row>
    <row r="15" spans="1:19" s="1176" customFormat="1" ht="15" x14ac:dyDescent="0.25">
      <c r="A15" s="1191">
        <v>2013</v>
      </c>
      <c r="B15" s="1262">
        <f t="shared" si="6"/>
        <v>151412</v>
      </c>
      <c r="C15" s="1265">
        <f t="shared" si="7"/>
        <v>1151412</v>
      </c>
      <c r="D15" s="1265">
        <f t="shared" si="7"/>
        <v>1151412</v>
      </c>
      <c r="E15" s="1265">
        <f t="shared" si="7"/>
        <v>1151412</v>
      </c>
      <c r="F15" s="1265">
        <f t="shared" si="7"/>
        <v>1151412</v>
      </c>
      <c r="G15" s="1266">
        <f t="shared" si="7"/>
        <v>1151412</v>
      </c>
      <c r="H15" s="1262">
        <f t="shared" si="8"/>
        <v>138005</v>
      </c>
      <c r="I15" s="1265">
        <f t="shared" si="9"/>
        <v>1151412</v>
      </c>
      <c r="J15" s="1265">
        <f t="shared" si="9"/>
        <v>1151412</v>
      </c>
      <c r="K15" s="1265">
        <f t="shared" si="9"/>
        <v>1151412</v>
      </c>
      <c r="L15" s="1265">
        <f t="shared" si="9"/>
        <v>1151412</v>
      </c>
      <c r="M15" s="1266">
        <f t="shared" si="9"/>
        <v>1151412</v>
      </c>
      <c r="N15" s="1262">
        <f t="shared" si="10"/>
        <v>81898</v>
      </c>
      <c r="O15" s="1265">
        <f t="shared" si="11"/>
        <v>1151412</v>
      </c>
      <c r="P15" s="1265">
        <f t="shared" si="11"/>
        <v>1151412</v>
      </c>
      <c r="Q15" s="1265">
        <f t="shared" si="11"/>
        <v>1151412</v>
      </c>
      <c r="R15" s="1265">
        <f t="shared" si="11"/>
        <v>1151412</v>
      </c>
      <c r="S15" s="1266">
        <f t="shared" si="11"/>
        <v>1151412</v>
      </c>
    </row>
    <row r="16" spans="1:19" s="1176" customFormat="1" ht="15" x14ac:dyDescent="0.25">
      <c r="A16" s="1191">
        <v>2014</v>
      </c>
      <c r="B16" s="1262">
        <f t="shared" si="6"/>
        <v>151412</v>
      </c>
      <c r="C16" s="1265">
        <f t="shared" si="7"/>
        <v>1151412</v>
      </c>
      <c r="D16" s="1265">
        <f t="shared" si="7"/>
        <v>1151412</v>
      </c>
      <c r="E16" s="1265">
        <f t="shared" si="7"/>
        <v>1151412</v>
      </c>
      <c r="F16" s="1265">
        <f t="shared" si="7"/>
        <v>1151412</v>
      </c>
      <c r="G16" s="1266">
        <f t="shared" si="7"/>
        <v>1151412</v>
      </c>
      <c r="H16" s="1262">
        <f t="shared" si="8"/>
        <v>138005</v>
      </c>
      <c r="I16" s="1265">
        <f t="shared" si="9"/>
        <v>1151412</v>
      </c>
      <c r="J16" s="1265">
        <f t="shared" si="9"/>
        <v>1151412</v>
      </c>
      <c r="K16" s="1265">
        <f t="shared" si="9"/>
        <v>1151412</v>
      </c>
      <c r="L16" s="1265">
        <f t="shared" si="9"/>
        <v>1151412</v>
      </c>
      <c r="M16" s="1266">
        <f t="shared" si="9"/>
        <v>1151412</v>
      </c>
      <c r="N16" s="1262">
        <f t="shared" si="10"/>
        <v>81898</v>
      </c>
      <c r="O16" s="1265">
        <f t="shared" si="11"/>
        <v>1151412</v>
      </c>
      <c r="P16" s="1265">
        <f t="shared" si="11"/>
        <v>1151412</v>
      </c>
      <c r="Q16" s="1265">
        <f t="shared" si="11"/>
        <v>1151412</v>
      </c>
      <c r="R16" s="1265">
        <f t="shared" si="11"/>
        <v>1151412</v>
      </c>
      <c r="S16" s="1266">
        <f t="shared" si="11"/>
        <v>1151412</v>
      </c>
    </row>
    <row r="17" spans="1:19" s="1176" customFormat="1" ht="15" x14ac:dyDescent="0.25">
      <c r="A17" s="1197">
        <v>2015</v>
      </c>
      <c r="B17" s="1267">
        <f t="shared" si="6"/>
        <v>151412</v>
      </c>
      <c r="C17" s="1268">
        <f t="shared" si="7"/>
        <v>1151412</v>
      </c>
      <c r="D17" s="1268">
        <f t="shared" si="7"/>
        <v>1151412</v>
      </c>
      <c r="E17" s="1268">
        <f t="shared" si="7"/>
        <v>1151412</v>
      </c>
      <c r="F17" s="1268">
        <f t="shared" si="7"/>
        <v>1151412</v>
      </c>
      <c r="G17" s="1269">
        <f t="shared" si="7"/>
        <v>1151412</v>
      </c>
      <c r="H17" s="1267">
        <f t="shared" si="8"/>
        <v>138005</v>
      </c>
      <c r="I17" s="1268">
        <f t="shared" si="9"/>
        <v>1151412</v>
      </c>
      <c r="J17" s="1268">
        <f t="shared" si="9"/>
        <v>1151412</v>
      </c>
      <c r="K17" s="1268">
        <f t="shared" si="9"/>
        <v>1151412</v>
      </c>
      <c r="L17" s="1268">
        <f t="shared" si="9"/>
        <v>1151412</v>
      </c>
      <c r="M17" s="1269">
        <f t="shared" si="9"/>
        <v>1151412</v>
      </c>
      <c r="N17" s="1267">
        <f t="shared" si="10"/>
        <v>81898</v>
      </c>
      <c r="O17" s="1268">
        <f t="shared" si="11"/>
        <v>1151412</v>
      </c>
      <c r="P17" s="1268">
        <f t="shared" si="11"/>
        <v>1151412</v>
      </c>
      <c r="Q17" s="1268">
        <f t="shared" si="11"/>
        <v>1151412</v>
      </c>
      <c r="R17" s="1268">
        <f t="shared" si="11"/>
        <v>1151412</v>
      </c>
      <c r="S17" s="1269">
        <f t="shared" si="11"/>
        <v>1151412</v>
      </c>
    </row>
    <row r="18" spans="1:19" s="1176" customFormat="1" ht="15" x14ac:dyDescent="0.25">
      <c r="A18" s="1191">
        <v>2016</v>
      </c>
      <c r="B18" s="1270">
        <f t="shared" si="6"/>
        <v>151412</v>
      </c>
      <c r="C18" s="1271">
        <f t="shared" si="7"/>
        <v>1151412</v>
      </c>
      <c r="D18" s="1271">
        <f t="shared" si="7"/>
        <v>1151412</v>
      </c>
      <c r="E18" s="1271">
        <f t="shared" si="7"/>
        <v>1151412</v>
      </c>
      <c r="F18" s="1271">
        <f t="shared" si="7"/>
        <v>1151412</v>
      </c>
      <c r="G18" s="1272">
        <f t="shared" si="7"/>
        <v>1151412</v>
      </c>
      <c r="H18" s="1270">
        <f t="shared" si="8"/>
        <v>138005</v>
      </c>
      <c r="I18" s="1271">
        <f t="shared" si="9"/>
        <v>1151412</v>
      </c>
      <c r="J18" s="1271">
        <f t="shared" si="9"/>
        <v>1151412</v>
      </c>
      <c r="K18" s="1271">
        <f t="shared" si="9"/>
        <v>1151412</v>
      </c>
      <c r="L18" s="1271">
        <f t="shared" si="9"/>
        <v>1151412</v>
      </c>
      <c r="M18" s="1272">
        <f t="shared" si="9"/>
        <v>1151412</v>
      </c>
      <c r="N18" s="1270">
        <f t="shared" si="10"/>
        <v>81898</v>
      </c>
      <c r="O18" s="1271">
        <f t="shared" si="11"/>
        <v>1151412</v>
      </c>
      <c r="P18" s="1271">
        <f t="shared" si="11"/>
        <v>1151412</v>
      </c>
      <c r="Q18" s="1271">
        <f t="shared" si="11"/>
        <v>1151412</v>
      </c>
      <c r="R18" s="1271">
        <f t="shared" si="11"/>
        <v>1151412</v>
      </c>
      <c r="S18" s="1272">
        <f t="shared" si="11"/>
        <v>1151412</v>
      </c>
    </row>
    <row r="19" spans="1:19" s="1176" customFormat="1" ht="15" x14ac:dyDescent="0.25">
      <c r="A19" s="1191">
        <v>2017</v>
      </c>
      <c r="B19" s="1262">
        <f t="shared" si="6"/>
        <v>151412</v>
      </c>
      <c r="C19" s="1265">
        <f t="shared" ref="C19:G28" si="12">$B19+INDEX(COST_Cls1,MATCH($A19,Years,0),MATCH(C$6,TECHOPTS_Cls1,0))</f>
        <v>1151412</v>
      </c>
      <c r="D19" s="1265">
        <f t="shared" si="12"/>
        <v>1151412</v>
      </c>
      <c r="E19" s="1265">
        <f t="shared" si="12"/>
        <v>1151412</v>
      </c>
      <c r="F19" s="1265">
        <f t="shared" si="12"/>
        <v>1151412</v>
      </c>
      <c r="G19" s="1266">
        <f t="shared" si="12"/>
        <v>1151412</v>
      </c>
      <c r="H19" s="1262">
        <f t="shared" si="8"/>
        <v>138005</v>
      </c>
      <c r="I19" s="1265">
        <f t="shared" ref="I19:M28" si="13">$B19+INDEX(COST_Cls2,MATCH($A19,Years,0),MATCH(I$6,TECHOPTS_Cls1,0))</f>
        <v>1151412</v>
      </c>
      <c r="J19" s="1265">
        <f t="shared" si="13"/>
        <v>1151412</v>
      </c>
      <c r="K19" s="1265">
        <f t="shared" si="13"/>
        <v>1151412</v>
      </c>
      <c r="L19" s="1265">
        <f t="shared" si="13"/>
        <v>1151412</v>
      </c>
      <c r="M19" s="1266">
        <f t="shared" si="13"/>
        <v>1151412</v>
      </c>
      <c r="N19" s="1262">
        <f t="shared" si="10"/>
        <v>81898</v>
      </c>
      <c r="O19" s="1265">
        <f t="shared" ref="O19:S28" si="14">$B19+INDEX(COST_Cls3,MATCH($A19,Years,0),MATCH(O$6,TECHOPTS_Cls1,0))</f>
        <v>1151412</v>
      </c>
      <c r="P19" s="1265">
        <f t="shared" si="14"/>
        <v>1151412</v>
      </c>
      <c r="Q19" s="1265">
        <f t="shared" si="14"/>
        <v>1151412</v>
      </c>
      <c r="R19" s="1265">
        <f t="shared" si="14"/>
        <v>1151412</v>
      </c>
      <c r="S19" s="1266">
        <f t="shared" si="14"/>
        <v>1151412</v>
      </c>
    </row>
    <row r="20" spans="1:19" s="1176" customFormat="1" ht="15" x14ac:dyDescent="0.25">
      <c r="A20" s="1191">
        <v>2018</v>
      </c>
      <c r="B20" s="1262">
        <f t="shared" si="6"/>
        <v>151412</v>
      </c>
      <c r="C20" s="1265">
        <f t="shared" si="12"/>
        <v>1151412</v>
      </c>
      <c r="D20" s="1265">
        <f t="shared" si="12"/>
        <v>1151412</v>
      </c>
      <c r="E20" s="1265">
        <f t="shared" si="12"/>
        <v>1151412</v>
      </c>
      <c r="F20" s="1265">
        <f t="shared" si="12"/>
        <v>1151412</v>
      </c>
      <c r="G20" s="1266">
        <f t="shared" si="12"/>
        <v>1151412</v>
      </c>
      <c r="H20" s="1262">
        <f t="shared" si="8"/>
        <v>138005</v>
      </c>
      <c r="I20" s="1265">
        <f t="shared" si="13"/>
        <v>1151412</v>
      </c>
      <c r="J20" s="1265">
        <f t="shared" si="13"/>
        <v>1151412</v>
      </c>
      <c r="K20" s="1265">
        <f t="shared" si="13"/>
        <v>1151412</v>
      </c>
      <c r="L20" s="1265">
        <f t="shared" si="13"/>
        <v>1151412</v>
      </c>
      <c r="M20" s="1266">
        <f t="shared" si="13"/>
        <v>1151412</v>
      </c>
      <c r="N20" s="1262">
        <f t="shared" si="10"/>
        <v>81898</v>
      </c>
      <c r="O20" s="1265">
        <f t="shared" si="14"/>
        <v>1151412</v>
      </c>
      <c r="P20" s="1265">
        <f t="shared" si="14"/>
        <v>1151412</v>
      </c>
      <c r="Q20" s="1265">
        <f t="shared" si="14"/>
        <v>1151412</v>
      </c>
      <c r="R20" s="1265">
        <f t="shared" si="14"/>
        <v>1151412</v>
      </c>
      <c r="S20" s="1266">
        <f t="shared" si="14"/>
        <v>1151412</v>
      </c>
    </row>
    <row r="21" spans="1:19" s="1176" customFormat="1" ht="15" x14ac:dyDescent="0.25">
      <c r="A21" s="1191">
        <v>2019</v>
      </c>
      <c r="B21" s="1262">
        <f t="shared" si="6"/>
        <v>151412</v>
      </c>
      <c r="C21" s="1265">
        <f t="shared" si="12"/>
        <v>1151412</v>
      </c>
      <c r="D21" s="1265">
        <f t="shared" si="12"/>
        <v>1151412</v>
      </c>
      <c r="E21" s="1265">
        <f t="shared" si="12"/>
        <v>1151412</v>
      </c>
      <c r="F21" s="1265">
        <f t="shared" si="12"/>
        <v>1151412</v>
      </c>
      <c r="G21" s="1266">
        <f t="shared" si="12"/>
        <v>1151412</v>
      </c>
      <c r="H21" s="1262">
        <f t="shared" si="8"/>
        <v>138005</v>
      </c>
      <c r="I21" s="1265">
        <f t="shared" si="13"/>
        <v>1151412</v>
      </c>
      <c r="J21" s="1265">
        <f t="shared" si="13"/>
        <v>1151412</v>
      </c>
      <c r="K21" s="1265">
        <f t="shared" si="13"/>
        <v>1151412</v>
      </c>
      <c r="L21" s="1265">
        <f t="shared" si="13"/>
        <v>1151412</v>
      </c>
      <c r="M21" s="1266">
        <f t="shared" si="13"/>
        <v>1151412</v>
      </c>
      <c r="N21" s="1262">
        <f t="shared" si="10"/>
        <v>81898</v>
      </c>
      <c r="O21" s="1265">
        <f t="shared" si="14"/>
        <v>1151412</v>
      </c>
      <c r="P21" s="1265">
        <f t="shared" si="14"/>
        <v>1151412</v>
      </c>
      <c r="Q21" s="1265">
        <f t="shared" si="14"/>
        <v>1151412</v>
      </c>
      <c r="R21" s="1265">
        <f t="shared" si="14"/>
        <v>1151412</v>
      </c>
      <c r="S21" s="1266">
        <f t="shared" si="14"/>
        <v>1151412</v>
      </c>
    </row>
    <row r="22" spans="1:19" s="1176" customFormat="1" ht="15" x14ac:dyDescent="0.25">
      <c r="A22" s="1197">
        <v>2020</v>
      </c>
      <c r="B22" s="1267">
        <f t="shared" si="6"/>
        <v>151412</v>
      </c>
      <c r="C22" s="1268">
        <f t="shared" si="12"/>
        <v>1151412</v>
      </c>
      <c r="D22" s="1268">
        <f t="shared" si="12"/>
        <v>1151412</v>
      </c>
      <c r="E22" s="1268">
        <f t="shared" si="12"/>
        <v>1151412</v>
      </c>
      <c r="F22" s="1268">
        <f t="shared" si="12"/>
        <v>1151412</v>
      </c>
      <c r="G22" s="1269">
        <f t="shared" si="12"/>
        <v>1151412</v>
      </c>
      <c r="H22" s="1267">
        <f t="shared" si="8"/>
        <v>138005</v>
      </c>
      <c r="I22" s="1268">
        <f t="shared" si="13"/>
        <v>1151412</v>
      </c>
      <c r="J22" s="1268">
        <f t="shared" si="13"/>
        <v>1151412</v>
      </c>
      <c r="K22" s="1268">
        <f t="shared" si="13"/>
        <v>1151412</v>
      </c>
      <c r="L22" s="1268">
        <f t="shared" si="13"/>
        <v>1151412</v>
      </c>
      <c r="M22" s="1269">
        <f t="shared" si="13"/>
        <v>1151412</v>
      </c>
      <c r="N22" s="1267">
        <f t="shared" si="10"/>
        <v>81898</v>
      </c>
      <c r="O22" s="1268">
        <f t="shared" si="14"/>
        <v>1151412</v>
      </c>
      <c r="P22" s="1268">
        <f t="shared" si="14"/>
        <v>1151412</v>
      </c>
      <c r="Q22" s="1268">
        <f t="shared" si="14"/>
        <v>1151412</v>
      </c>
      <c r="R22" s="1268">
        <f t="shared" si="14"/>
        <v>1151412</v>
      </c>
      <c r="S22" s="1269">
        <f t="shared" si="14"/>
        <v>1151412</v>
      </c>
    </row>
    <row r="23" spans="1:19" s="1176" customFormat="1" ht="15" x14ac:dyDescent="0.25">
      <c r="A23" s="1191">
        <v>2021</v>
      </c>
      <c r="B23" s="1270">
        <f t="shared" si="6"/>
        <v>151412</v>
      </c>
      <c r="C23" s="1271">
        <f t="shared" si="12"/>
        <v>1151412</v>
      </c>
      <c r="D23" s="1271">
        <f t="shared" si="12"/>
        <v>1151412</v>
      </c>
      <c r="E23" s="1271">
        <f t="shared" si="12"/>
        <v>1151412</v>
      </c>
      <c r="F23" s="1271">
        <f t="shared" si="12"/>
        <v>1151412</v>
      </c>
      <c r="G23" s="1272">
        <f t="shared" si="12"/>
        <v>1151412</v>
      </c>
      <c r="H23" s="1270">
        <f t="shared" si="8"/>
        <v>138005</v>
      </c>
      <c r="I23" s="1271">
        <f t="shared" si="13"/>
        <v>1151412</v>
      </c>
      <c r="J23" s="1271">
        <f t="shared" si="13"/>
        <v>1151412</v>
      </c>
      <c r="K23" s="1271">
        <f t="shared" si="13"/>
        <v>1151412</v>
      </c>
      <c r="L23" s="1271">
        <f t="shared" si="13"/>
        <v>1151412</v>
      </c>
      <c r="M23" s="1272">
        <f t="shared" si="13"/>
        <v>1151412</v>
      </c>
      <c r="N23" s="1270">
        <f t="shared" si="10"/>
        <v>81898</v>
      </c>
      <c r="O23" s="1271">
        <f t="shared" si="14"/>
        <v>1151412</v>
      </c>
      <c r="P23" s="1271">
        <f t="shared" si="14"/>
        <v>1151412</v>
      </c>
      <c r="Q23" s="1271">
        <f t="shared" si="14"/>
        <v>1151412</v>
      </c>
      <c r="R23" s="1271">
        <f t="shared" si="14"/>
        <v>1151412</v>
      </c>
      <c r="S23" s="1272">
        <f t="shared" si="14"/>
        <v>1151412</v>
      </c>
    </row>
    <row r="24" spans="1:19" s="1176" customFormat="1" ht="15" x14ac:dyDescent="0.25">
      <c r="A24" s="1191">
        <v>2022</v>
      </c>
      <c r="B24" s="1262">
        <f t="shared" si="6"/>
        <v>152694.05291325031</v>
      </c>
      <c r="C24" s="1265">
        <f t="shared" si="12"/>
        <v>1152694.0529132504</v>
      </c>
      <c r="D24" s="1265">
        <f t="shared" si="12"/>
        <v>1152694.0529132504</v>
      </c>
      <c r="E24" s="1265">
        <f t="shared" si="12"/>
        <v>1152694.0529132504</v>
      </c>
      <c r="F24" s="1265">
        <f t="shared" si="12"/>
        <v>1152694.0529132504</v>
      </c>
      <c r="G24" s="1266">
        <f t="shared" si="12"/>
        <v>1152694.0529132504</v>
      </c>
      <c r="H24" s="1262">
        <f t="shared" si="8"/>
        <v>138005</v>
      </c>
      <c r="I24" s="1265">
        <f t="shared" si="13"/>
        <v>1152694.0529132504</v>
      </c>
      <c r="J24" s="1265">
        <f t="shared" si="13"/>
        <v>1152694.0529132504</v>
      </c>
      <c r="K24" s="1265">
        <f t="shared" si="13"/>
        <v>1152694.0529132504</v>
      </c>
      <c r="L24" s="1265">
        <f t="shared" si="13"/>
        <v>1152694.0529132504</v>
      </c>
      <c r="M24" s="1266">
        <f t="shared" si="13"/>
        <v>1152694.0529132504</v>
      </c>
      <c r="N24" s="1262">
        <f t="shared" si="10"/>
        <v>82009.100849793598</v>
      </c>
      <c r="O24" s="1265">
        <f t="shared" si="14"/>
        <v>1152694.0529132504</v>
      </c>
      <c r="P24" s="1265">
        <f t="shared" si="14"/>
        <v>1152694.0529132504</v>
      </c>
      <c r="Q24" s="1265">
        <f t="shared" si="14"/>
        <v>1152694.0529132504</v>
      </c>
      <c r="R24" s="1265">
        <f t="shared" si="14"/>
        <v>1152694.0529132504</v>
      </c>
      <c r="S24" s="1266">
        <f t="shared" si="14"/>
        <v>1152694.0529132504</v>
      </c>
    </row>
    <row r="25" spans="1:19" s="1176" customFormat="1" ht="15" x14ac:dyDescent="0.25">
      <c r="A25" s="1191">
        <v>2023</v>
      </c>
      <c r="B25" s="1262">
        <f t="shared" si="6"/>
        <v>153887.62389136266</v>
      </c>
      <c r="C25" s="1265">
        <f t="shared" si="12"/>
        <v>1153887.6238913627</v>
      </c>
      <c r="D25" s="1265">
        <f t="shared" si="12"/>
        <v>1153887.6238913627</v>
      </c>
      <c r="E25" s="1265">
        <f t="shared" si="12"/>
        <v>1153887.6238913627</v>
      </c>
      <c r="F25" s="1265">
        <f t="shared" si="12"/>
        <v>1153887.6238913627</v>
      </c>
      <c r="G25" s="1266">
        <f t="shared" si="12"/>
        <v>1153887.6238913627</v>
      </c>
      <c r="H25" s="1262">
        <f t="shared" si="8"/>
        <v>138005</v>
      </c>
      <c r="I25" s="1265">
        <f t="shared" si="13"/>
        <v>1153887.6238913627</v>
      </c>
      <c r="J25" s="1265">
        <f t="shared" si="13"/>
        <v>1153887.6238913627</v>
      </c>
      <c r="K25" s="1265">
        <f t="shared" si="13"/>
        <v>1153887.6238913627</v>
      </c>
      <c r="L25" s="1265">
        <f t="shared" si="13"/>
        <v>1153887.6238913627</v>
      </c>
      <c r="M25" s="1266">
        <f t="shared" si="13"/>
        <v>1153887.6238913627</v>
      </c>
      <c r="N25" s="1262">
        <f t="shared" si="10"/>
        <v>82148.907841415799</v>
      </c>
      <c r="O25" s="1265">
        <f t="shared" si="14"/>
        <v>1153887.6238913627</v>
      </c>
      <c r="P25" s="1265">
        <f t="shared" si="14"/>
        <v>1153887.6238913627</v>
      </c>
      <c r="Q25" s="1265">
        <f t="shared" si="14"/>
        <v>1153887.6238913627</v>
      </c>
      <c r="R25" s="1265">
        <f t="shared" si="14"/>
        <v>1153887.6238913627</v>
      </c>
      <c r="S25" s="1266">
        <f t="shared" si="14"/>
        <v>1153887.6238913627</v>
      </c>
    </row>
    <row r="26" spans="1:19" s="1176" customFormat="1" ht="15" x14ac:dyDescent="0.25">
      <c r="A26" s="1191">
        <v>2024</v>
      </c>
      <c r="B26" s="1262">
        <f t="shared" si="6"/>
        <v>155468.9856745867</v>
      </c>
      <c r="C26" s="1265">
        <f t="shared" si="12"/>
        <v>1155468.9856745866</v>
      </c>
      <c r="D26" s="1265">
        <f t="shared" si="12"/>
        <v>1155468.9856745866</v>
      </c>
      <c r="E26" s="1265">
        <f t="shared" si="12"/>
        <v>1155468.9856745866</v>
      </c>
      <c r="F26" s="1265">
        <f t="shared" si="12"/>
        <v>1155468.9856745866</v>
      </c>
      <c r="G26" s="1266">
        <f t="shared" si="12"/>
        <v>1155468.9856745866</v>
      </c>
      <c r="H26" s="1262">
        <f t="shared" si="8"/>
        <v>138005</v>
      </c>
      <c r="I26" s="1265">
        <f t="shared" si="13"/>
        <v>1155468.9856745866</v>
      </c>
      <c r="J26" s="1265">
        <f t="shared" si="13"/>
        <v>1155468.9856745866</v>
      </c>
      <c r="K26" s="1265">
        <f t="shared" si="13"/>
        <v>1155468.9856745866</v>
      </c>
      <c r="L26" s="1265">
        <f t="shared" si="13"/>
        <v>1155468.9856745866</v>
      </c>
      <c r="M26" s="1266">
        <f t="shared" si="13"/>
        <v>1155468.9856745866</v>
      </c>
      <c r="N26" s="1262">
        <f t="shared" si="10"/>
        <v>82304.395976705782</v>
      </c>
      <c r="O26" s="1265">
        <f t="shared" si="14"/>
        <v>1155468.9856745866</v>
      </c>
      <c r="P26" s="1265">
        <f t="shared" si="14"/>
        <v>1155468.9856745866</v>
      </c>
      <c r="Q26" s="1265">
        <f t="shared" si="14"/>
        <v>1155468.9856745866</v>
      </c>
      <c r="R26" s="1265">
        <f t="shared" si="14"/>
        <v>1155468.9856745866</v>
      </c>
      <c r="S26" s="1266">
        <f t="shared" si="14"/>
        <v>1155468.9856745866</v>
      </c>
    </row>
    <row r="27" spans="1:19" s="1176" customFormat="1" ht="15" x14ac:dyDescent="0.25">
      <c r="A27" s="1197">
        <v>2025</v>
      </c>
      <c r="B27" s="1267">
        <f t="shared" si="6"/>
        <v>157278.03996967364</v>
      </c>
      <c r="C27" s="1268">
        <f t="shared" si="12"/>
        <v>158648.39118098008</v>
      </c>
      <c r="D27" s="1268">
        <f t="shared" si="12"/>
        <v>166605.52063647142</v>
      </c>
      <c r="E27" s="1268">
        <f t="shared" si="12"/>
        <v>705690.88578820531</v>
      </c>
      <c r="F27" s="1268">
        <f t="shared" si="12"/>
        <v>297354.40636847832</v>
      </c>
      <c r="G27" s="1269">
        <f t="shared" si="12"/>
        <v>1157278.0399696736</v>
      </c>
      <c r="H27" s="1267">
        <f t="shared" si="8"/>
        <v>138005</v>
      </c>
      <c r="I27" s="1268">
        <f t="shared" si="13"/>
        <v>164275.10160235863</v>
      </c>
      <c r="J27" s="1268">
        <f t="shared" si="13"/>
        <v>172307.23149939469</v>
      </c>
      <c r="K27" s="1268">
        <f t="shared" si="13"/>
        <v>484771.02567962359</v>
      </c>
      <c r="L27" s="1268">
        <f t="shared" si="13"/>
        <v>257134.69755041646</v>
      </c>
      <c r="M27" s="1269">
        <f t="shared" si="13"/>
        <v>1157278.0399696736</v>
      </c>
      <c r="N27" s="1267">
        <f t="shared" si="10"/>
        <v>82474.172613639836</v>
      </c>
      <c r="O27" s="1268">
        <f t="shared" si="14"/>
        <v>157397.31412971931</v>
      </c>
      <c r="P27" s="1268">
        <f t="shared" si="14"/>
        <v>163095.22778082694</v>
      </c>
      <c r="Q27" s="1268">
        <f t="shared" si="14"/>
        <v>391845.41947913007</v>
      </c>
      <c r="R27" s="1268">
        <f t="shared" si="14"/>
        <v>240047.39265222088</v>
      </c>
      <c r="S27" s="1269">
        <f t="shared" si="14"/>
        <v>1157278.0399696736</v>
      </c>
    </row>
    <row r="28" spans="1:19" s="1176" customFormat="1" ht="15" x14ac:dyDescent="0.25">
      <c r="A28" s="1191">
        <v>2026</v>
      </c>
      <c r="B28" s="1270">
        <f t="shared" si="6"/>
        <v>159370.44685304872</v>
      </c>
      <c r="C28" s="1271">
        <f t="shared" si="12"/>
        <v>161021.31665105085</v>
      </c>
      <c r="D28" s="1271">
        <f t="shared" si="12"/>
        <v>168621.87542647062</v>
      </c>
      <c r="E28" s="1271">
        <f t="shared" si="12"/>
        <v>668429.63026362786</v>
      </c>
      <c r="F28" s="1271">
        <f t="shared" si="12"/>
        <v>285929.76712368859</v>
      </c>
      <c r="G28" s="1272">
        <f t="shared" si="12"/>
        <v>1159370.4468530486</v>
      </c>
      <c r="H28" s="1270">
        <f t="shared" si="8"/>
        <v>138005</v>
      </c>
      <c r="I28" s="1271">
        <f t="shared" si="13"/>
        <v>168189.98880409278</v>
      </c>
      <c r="J28" s="1271">
        <f t="shared" si="13"/>
        <v>175787.95960472722</v>
      </c>
      <c r="K28" s="1271">
        <f t="shared" si="13"/>
        <v>454944.64852746902</v>
      </c>
      <c r="L28" s="1271">
        <f t="shared" si="13"/>
        <v>250895.30352414944</v>
      </c>
      <c r="M28" s="1272">
        <f t="shared" si="13"/>
        <v>1159370.4468530486</v>
      </c>
      <c r="N28" s="1270">
        <f t="shared" si="10"/>
        <v>82644.145945552678</v>
      </c>
      <c r="O28" s="1271">
        <f t="shared" si="14"/>
        <v>159520.00836723699</v>
      </c>
      <c r="P28" s="1271">
        <f t="shared" si="14"/>
        <v>164947.21011575699</v>
      </c>
      <c r="Q28" s="1271">
        <f t="shared" si="14"/>
        <v>371569.43371392589</v>
      </c>
      <c r="R28" s="1271">
        <f t="shared" si="14"/>
        <v>235000.37749375281</v>
      </c>
      <c r="S28" s="1272">
        <f t="shared" si="14"/>
        <v>1159370.4468530486</v>
      </c>
    </row>
    <row r="29" spans="1:19" s="1176" customFormat="1" ht="15" x14ac:dyDescent="0.25">
      <c r="A29" s="1191">
        <v>2027</v>
      </c>
      <c r="B29" s="1262">
        <f t="shared" si="6"/>
        <v>161438.64993857368</v>
      </c>
      <c r="C29" s="1265">
        <f t="shared" ref="C29:G38" si="15">$B29+INDEX(COST_Cls1,MATCH($A29,Years,0),MATCH(C$6,TECHOPTS_Cls1,0))</f>
        <v>163443.97992628836</v>
      </c>
      <c r="D29" s="1265">
        <f t="shared" si="15"/>
        <v>170593.97992628836</v>
      </c>
      <c r="E29" s="1265">
        <f t="shared" si="15"/>
        <v>620770.97992628836</v>
      </c>
      <c r="F29" s="1265">
        <f t="shared" si="15"/>
        <v>270917.97992628836</v>
      </c>
      <c r="G29" s="1266">
        <f t="shared" si="15"/>
        <v>1161438.6499385736</v>
      </c>
      <c r="H29" s="1262">
        <f t="shared" si="8"/>
        <v>138005</v>
      </c>
      <c r="I29" s="1265">
        <f t="shared" ref="I29:M38" si="16">$B29+INDEX(COST_Cls2,MATCH($A29,Years,0),MATCH(I$6,TECHOPTS_Cls1,0))</f>
        <v>172138.64993857368</v>
      </c>
      <c r="J29" s="1265">
        <f t="shared" si="16"/>
        <v>179288.64993857368</v>
      </c>
      <c r="K29" s="1265">
        <f t="shared" si="16"/>
        <v>424078.64993857371</v>
      </c>
      <c r="L29" s="1265">
        <f t="shared" si="16"/>
        <v>244366.64993857368</v>
      </c>
      <c r="M29" s="1266">
        <f t="shared" si="16"/>
        <v>1161438.6499385736</v>
      </c>
      <c r="N29" s="1262">
        <f t="shared" si="10"/>
        <v>82827.166666666642</v>
      </c>
      <c r="O29" s="1265">
        <f t="shared" ref="O29:S38" si="17">$B29+INDEX(COST_Cls3,MATCH($A29,Years,0),MATCH(O$6,TECHOPTS_Cls1,0))</f>
        <v>161624.48327190703</v>
      </c>
      <c r="P29" s="1265">
        <f t="shared" si="17"/>
        <v>166727.48327190703</v>
      </c>
      <c r="Q29" s="1265">
        <f t="shared" si="17"/>
        <v>346849.48327190708</v>
      </c>
      <c r="R29" s="1265">
        <f t="shared" si="17"/>
        <v>228518.48327190703</v>
      </c>
      <c r="S29" s="1266">
        <f t="shared" si="17"/>
        <v>1161438.6499385736</v>
      </c>
    </row>
    <row r="30" spans="1:19" s="1176" customFormat="1" ht="15" x14ac:dyDescent="0.25">
      <c r="A30" s="1191">
        <v>2028</v>
      </c>
      <c r="B30" s="1262">
        <f t="shared" si="6"/>
        <v>161925.61809378397</v>
      </c>
      <c r="C30" s="1265">
        <f t="shared" si="15"/>
        <v>164126.81723243161</v>
      </c>
      <c r="D30" s="1265">
        <f t="shared" si="15"/>
        <v>171091.59997032338</v>
      </c>
      <c r="E30" s="1265">
        <f t="shared" si="15"/>
        <v>569614.35506467451</v>
      </c>
      <c r="F30" s="1265">
        <f t="shared" si="15"/>
        <v>266570.74381802278</v>
      </c>
      <c r="G30" s="1266">
        <f t="shared" si="15"/>
        <v>1161925.618093784</v>
      </c>
      <c r="H30" s="1262">
        <f t="shared" si="8"/>
        <v>138718.45332461005</v>
      </c>
      <c r="I30" s="1265">
        <f t="shared" si="16"/>
        <v>172829.22467819916</v>
      </c>
      <c r="J30" s="1265">
        <f t="shared" si="16"/>
        <v>179823.01503638554</v>
      </c>
      <c r="K30" s="1265">
        <f t="shared" si="16"/>
        <v>399303.44822469132</v>
      </c>
      <c r="L30" s="1265">
        <f t="shared" si="16"/>
        <v>241607.99562569152</v>
      </c>
      <c r="M30" s="1266">
        <f t="shared" si="16"/>
        <v>1161925.618093784</v>
      </c>
      <c r="N30" s="1262">
        <f t="shared" si="10"/>
        <v>83037.8505026809</v>
      </c>
      <c r="O30" s="1265">
        <f t="shared" si="17"/>
        <v>162851.82440949167</v>
      </c>
      <c r="P30" s="1265">
        <f t="shared" si="17"/>
        <v>167528.20345374977</v>
      </c>
      <c r="Q30" s="1265">
        <f t="shared" si="17"/>
        <v>315325.17139125266</v>
      </c>
      <c r="R30" s="1265">
        <f t="shared" si="17"/>
        <v>224090.26519089544</v>
      </c>
      <c r="S30" s="1266">
        <f t="shared" si="17"/>
        <v>1161925.618093784</v>
      </c>
    </row>
    <row r="31" spans="1:19" s="1176" customFormat="1" ht="15" x14ac:dyDescent="0.25">
      <c r="A31" s="1191">
        <v>2029</v>
      </c>
      <c r="B31" s="1262">
        <f t="shared" si="6"/>
        <v>162512.84826185249</v>
      </c>
      <c r="C31" s="1265">
        <f t="shared" si="15"/>
        <v>164862.49854820932</v>
      </c>
      <c r="D31" s="1265">
        <f t="shared" si="15"/>
        <v>171686.90330924993</v>
      </c>
      <c r="E31" s="1265">
        <f t="shared" si="15"/>
        <v>531060.40032099746</v>
      </c>
      <c r="F31" s="1265">
        <f t="shared" si="15"/>
        <v>263494.08323170058</v>
      </c>
      <c r="G31" s="1266">
        <f t="shared" si="15"/>
        <v>1162512.8482618525</v>
      </c>
      <c r="H31" s="1262">
        <f t="shared" si="8"/>
        <v>139224.49553988935</v>
      </c>
      <c r="I31" s="1265">
        <f t="shared" si="16"/>
        <v>173569.52733478055</v>
      </c>
      <c r="J31" s="1265">
        <f t="shared" si="16"/>
        <v>180445.87847227181</v>
      </c>
      <c r="K31" s="1265">
        <f t="shared" si="16"/>
        <v>380898.44777210295</v>
      </c>
      <c r="L31" s="1265">
        <f t="shared" si="16"/>
        <v>239755.14995146217</v>
      </c>
      <c r="M31" s="1266">
        <f t="shared" si="16"/>
        <v>1162512.8482618525</v>
      </c>
      <c r="N31" s="1262">
        <f t="shared" si="10"/>
        <v>83446.393709348864</v>
      </c>
      <c r="O31" s="1265">
        <f t="shared" si="17"/>
        <v>163841.12604381703</v>
      </c>
      <c r="P31" s="1265">
        <f t="shared" si="17"/>
        <v>168285.8217105146</v>
      </c>
      <c r="Q31" s="1265">
        <f t="shared" si="17"/>
        <v>298528.16063321126</v>
      </c>
      <c r="R31" s="1265">
        <f t="shared" si="17"/>
        <v>222008.22435101157</v>
      </c>
      <c r="S31" s="1266">
        <f t="shared" si="17"/>
        <v>1162512.8482618525</v>
      </c>
    </row>
    <row r="32" spans="1:19" s="1176" customFormat="1" ht="15" x14ac:dyDescent="0.25">
      <c r="A32" s="1197">
        <v>2030</v>
      </c>
      <c r="B32" s="1267">
        <f t="shared" si="6"/>
        <v>162980.88423840102</v>
      </c>
      <c r="C32" s="1268">
        <f t="shared" si="15"/>
        <v>165499.65477619151</v>
      </c>
      <c r="D32" s="1268">
        <f t="shared" si="15"/>
        <v>172164.13649785405</v>
      </c>
      <c r="E32" s="1268">
        <f t="shared" si="15"/>
        <v>486937.55818151467</v>
      </c>
      <c r="F32" s="1268">
        <f t="shared" si="15"/>
        <v>259788.09876334266</v>
      </c>
      <c r="G32" s="1269">
        <f t="shared" si="15"/>
        <v>1162980.884238401</v>
      </c>
      <c r="H32" s="1267">
        <f t="shared" si="8"/>
        <v>139523.14024300172</v>
      </c>
      <c r="I32" s="1268">
        <f t="shared" si="16"/>
        <v>174228.24319257302</v>
      </c>
      <c r="J32" s="1268">
        <f t="shared" si="16"/>
        <v>180958.30222445418</v>
      </c>
      <c r="K32" s="1268">
        <f t="shared" si="16"/>
        <v>357708.17444378097</v>
      </c>
      <c r="L32" s="1268">
        <f t="shared" si="16"/>
        <v>237183.6235849947</v>
      </c>
      <c r="M32" s="1269">
        <f t="shared" si="16"/>
        <v>1162980.884238401</v>
      </c>
      <c r="N32" s="1267">
        <f t="shared" si="10"/>
        <v>83815.84790700287</v>
      </c>
      <c r="O32" s="1268">
        <f t="shared" si="17"/>
        <v>164662.0941507341</v>
      </c>
      <c r="P32" s="1268">
        <f t="shared" si="17"/>
        <v>168903.42172276272</v>
      </c>
      <c r="Q32" s="1268">
        <f t="shared" si="17"/>
        <v>283736.57810956764</v>
      </c>
      <c r="R32" s="1268">
        <f t="shared" si="17"/>
        <v>220133.2154153258</v>
      </c>
      <c r="S32" s="1269">
        <f t="shared" si="17"/>
        <v>1162980.884238401</v>
      </c>
    </row>
    <row r="33" spans="1:19" s="1176" customFormat="1" ht="15" x14ac:dyDescent="0.25">
      <c r="A33" s="1191">
        <v>2031</v>
      </c>
      <c r="B33" s="1270">
        <f t="shared" si="6"/>
        <v>163384.93715879397</v>
      </c>
      <c r="C33" s="1271">
        <f t="shared" si="15"/>
        <v>166043.05272250841</v>
      </c>
      <c r="D33" s="1271">
        <f t="shared" si="15"/>
        <v>172575.76737382272</v>
      </c>
      <c r="E33" s="1271">
        <f t="shared" si="15"/>
        <v>450601.38032305805</v>
      </c>
      <c r="F33" s="1271">
        <f t="shared" si="15"/>
        <v>256753.00715685604</v>
      </c>
      <c r="G33" s="1272">
        <f t="shared" si="15"/>
        <v>1163384.9371587939</v>
      </c>
      <c r="H33" s="1270">
        <f t="shared" si="8"/>
        <v>139576.09988215286</v>
      </c>
      <c r="I33" s="1271">
        <f t="shared" si="16"/>
        <v>174812.53360431406</v>
      </c>
      <c r="J33" s="1271">
        <f t="shared" si="16"/>
        <v>181404.31206906258</v>
      </c>
      <c r="K33" s="1271">
        <f t="shared" si="16"/>
        <v>335749.54132289434</v>
      </c>
      <c r="L33" s="1271">
        <f t="shared" si="16"/>
        <v>234714.57270478044</v>
      </c>
      <c r="M33" s="1272">
        <f t="shared" si="16"/>
        <v>1163384.9371587939</v>
      </c>
      <c r="N33" s="1270">
        <f t="shared" si="10"/>
        <v>84154.683571299582</v>
      </c>
      <c r="O33" s="1271">
        <f t="shared" si="17"/>
        <v>165298.05026192017</v>
      </c>
      <c r="P33" s="1271">
        <f t="shared" si="17"/>
        <v>169405.74956380518</v>
      </c>
      <c r="Q33" s="1271">
        <f t="shared" si="17"/>
        <v>274113.90374733909</v>
      </c>
      <c r="R33" s="1271">
        <f t="shared" si="17"/>
        <v>218997.71003381151</v>
      </c>
      <c r="S33" s="1272">
        <f t="shared" si="17"/>
        <v>1163384.9371587939</v>
      </c>
    </row>
    <row r="34" spans="1:19" s="1176" customFormat="1" ht="15" x14ac:dyDescent="0.25">
      <c r="A34" s="1191">
        <v>2032</v>
      </c>
      <c r="B34" s="1262">
        <f t="shared" si="6"/>
        <v>163647.29087656995</v>
      </c>
      <c r="C34" s="1265">
        <f t="shared" si="15"/>
        <v>166392.69662617228</v>
      </c>
      <c r="D34" s="1265">
        <f t="shared" si="15"/>
        <v>172842.86816560774</v>
      </c>
      <c r="E34" s="1265">
        <f t="shared" si="15"/>
        <v>427848.47710585804</v>
      </c>
      <c r="F34" s="1265">
        <f t="shared" si="15"/>
        <v>254860.97062599447</v>
      </c>
      <c r="G34" s="1266">
        <f t="shared" si="15"/>
        <v>1163647.2908765699</v>
      </c>
      <c r="H34" s="1262">
        <f t="shared" si="8"/>
        <v>139629.10034424686</v>
      </c>
      <c r="I34" s="1265">
        <f t="shared" si="16"/>
        <v>175205.89373612768</v>
      </c>
      <c r="J34" s="1265">
        <f t="shared" si="16"/>
        <v>181697.16236190961</v>
      </c>
      <c r="K34" s="1265">
        <f t="shared" si="16"/>
        <v>319757.47824533097</v>
      </c>
      <c r="L34" s="1265">
        <f t="shared" si="16"/>
        <v>232888.59827695094</v>
      </c>
      <c r="M34" s="1266">
        <f t="shared" si="16"/>
        <v>1163647.2908765699</v>
      </c>
      <c r="N34" s="1262">
        <f t="shared" si="10"/>
        <v>84191.182466604063</v>
      </c>
      <c r="O34" s="1265">
        <f t="shared" si="17"/>
        <v>165685.23146284837</v>
      </c>
      <c r="P34" s="1265">
        <f t="shared" si="17"/>
        <v>169721.00212682647</v>
      </c>
      <c r="Q34" s="1265">
        <f t="shared" si="17"/>
        <v>268979.12978152133</v>
      </c>
      <c r="R34" s="1265">
        <f t="shared" si="17"/>
        <v>218431.35938000941</v>
      </c>
      <c r="S34" s="1266">
        <f t="shared" si="17"/>
        <v>1163647.2908765699</v>
      </c>
    </row>
    <row r="35" spans="1:19" s="1176" customFormat="1" ht="15" x14ac:dyDescent="0.25">
      <c r="A35" s="1191">
        <v>2033</v>
      </c>
      <c r="B35" s="1262">
        <f t="shared" si="6"/>
        <v>163724.32308695698</v>
      </c>
      <c r="C35" s="1265">
        <f t="shared" si="15"/>
        <v>166515.39145009188</v>
      </c>
      <c r="D35" s="1265">
        <f t="shared" si="15"/>
        <v>172922.38363117038</v>
      </c>
      <c r="E35" s="1265">
        <f t="shared" si="15"/>
        <v>415885.93382348685</v>
      </c>
      <c r="F35" s="1265">
        <f t="shared" si="15"/>
        <v>253811.01372161225</v>
      </c>
      <c r="G35" s="1266">
        <f t="shared" si="15"/>
        <v>1163724.323086957</v>
      </c>
      <c r="H35" s="1262">
        <f t="shared" si="8"/>
        <v>139682.1416607514</v>
      </c>
      <c r="I35" s="1265">
        <f t="shared" si="16"/>
        <v>175361.08092494184</v>
      </c>
      <c r="J35" s="1265">
        <f t="shared" si="16"/>
        <v>181792.38802629116</v>
      </c>
      <c r="K35" s="1265">
        <f t="shared" si="16"/>
        <v>310137.55322414287</v>
      </c>
      <c r="L35" s="1265">
        <f t="shared" si="16"/>
        <v>231719.78888204353</v>
      </c>
      <c r="M35" s="1266">
        <f t="shared" si="16"/>
        <v>1163724.323086957</v>
      </c>
      <c r="N35" s="1262">
        <f t="shared" si="10"/>
        <v>84227.755569188754</v>
      </c>
      <c r="O35" s="1265">
        <f t="shared" si="17"/>
        <v>165822.3202477842</v>
      </c>
      <c r="P35" s="1265">
        <f t="shared" si="17"/>
        <v>169823.48484989547</v>
      </c>
      <c r="Q35" s="1265">
        <f t="shared" si="17"/>
        <v>266459.51425942138</v>
      </c>
      <c r="R35" s="1265">
        <f t="shared" si="17"/>
        <v>218109.68815895799</v>
      </c>
      <c r="S35" s="1266">
        <f t="shared" si="17"/>
        <v>1163724.323086957</v>
      </c>
    </row>
    <row r="36" spans="1:19" s="1176" customFormat="1" ht="15" x14ac:dyDescent="0.25">
      <c r="A36" s="1191">
        <v>2034</v>
      </c>
      <c r="B36" s="1262">
        <f t="shared" si="6"/>
        <v>163799.77124309973</v>
      </c>
      <c r="C36" s="1265">
        <f t="shared" si="15"/>
        <v>166612.48945806338</v>
      </c>
      <c r="D36" s="1265">
        <f t="shared" si="15"/>
        <v>172999.00916421833</v>
      </c>
      <c r="E36" s="1265">
        <f t="shared" si="15"/>
        <v>410253.10106150911</v>
      </c>
      <c r="F36" s="1265">
        <f t="shared" si="15"/>
        <v>253352.12655483308</v>
      </c>
      <c r="G36" s="1266">
        <f t="shared" si="15"/>
        <v>1163799.7712430998</v>
      </c>
      <c r="H36" s="1262">
        <f t="shared" si="8"/>
        <v>139735.22386315826</v>
      </c>
      <c r="I36" s="1265">
        <f t="shared" si="16"/>
        <v>175477.78007482659</v>
      </c>
      <c r="J36" s="1265">
        <f t="shared" si="16"/>
        <v>181877.43887278042</v>
      </c>
      <c r="K36" s="1265">
        <f t="shared" si="16"/>
        <v>305094.84857509844</v>
      </c>
      <c r="L36" s="1265">
        <f t="shared" si="16"/>
        <v>231137.66914810694</v>
      </c>
      <c r="M36" s="1266">
        <f t="shared" si="16"/>
        <v>1163799.7712430998</v>
      </c>
      <c r="N36" s="1262">
        <f t="shared" si="10"/>
        <v>84264.403029927285</v>
      </c>
      <c r="O36" s="1265">
        <f t="shared" si="17"/>
        <v>165925.10039081186</v>
      </c>
      <c r="P36" s="1265">
        <f t="shared" si="17"/>
        <v>169910.51563598443</v>
      </c>
      <c r="Q36" s="1265">
        <f t="shared" si="17"/>
        <v>265353.21766401577</v>
      </c>
      <c r="R36" s="1265">
        <f t="shared" si="17"/>
        <v>218003.68479141814</v>
      </c>
      <c r="S36" s="1266">
        <f t="shared" si="17"/>
        <v>1163799.7712430998</v>
      </c>
    </row>
    <row r="37" spans="1:19" s="1176" customFormat="1" ht="15" x14ac:dyDescent="0.25">
      <c r="A37" s="1197">
        <v>2035</v>
      </c>
      <c r="B37" s="1267">
        <f t="shared" si="6"/>
        <v>163848.29249390995</v>
      </c>
      <c r="C37" s="1268">
        <f t="shared" si="15"/>
        <v>166678.48046726114</v>
      </c>
      <c r="D37" s="1268">
        <f t="shared" si="15"/>
        <v>173048.48046726114</v>
      </c>
      <c r="E37" s="1268">
        <f t="shared" si="15"/>
        <v>405695.48046726116</v>
      </c>
      <c r="F37" s="1268">
        <f t="shared" si="15"/>
        <v>252969.48046726114</v>
      </c>
      <c r="G37" s="1269">
        <f t="shared" si="15"/>
        <v>1163848.2924939101</v>
      </c>
      <c r="H37" s="1267">
        <f t="shared" si="8"/>
        <v>139788.33333333334</v>
      </c>
      <c r="I37" s="1268">
        <f t="shared" si="16"/>
        <v>175564.9591605766</v>
      </c>
      <c r="J37" s="1268">
        <f t="shared" si="16"/>
        <v>181934.9591605766</v>
      </c>
      <c r="K37" s="1268">
        <f t="shared" si="16"/>
        <v>300346.95916057657</v>
      </c>
      <c r="L37" s="1268">
        <f t="shared" si="16"/>
        <v>230569.9591605766</v>
      </c>
      <c r="M37" s="1269">
        <f t="shared" si="16"/>
        <v>1163848.2924939101</v>
      </c>
      <c r="N37" s="1267">
        <f t="shared" si="10"/>
        <v>84301.125</v>
      </c>
      <c r="O37" s="1268">
        <f t="shared" si="17"/>
        <v>165995.16749390995</v>
      </c>
      <c r="P37" s="1268">
        <f t="shared" si="17"/>
        <v>169968.16749390995</v>
      </c>
      <c r="Q37" s="1268">
        <f t="shared" si="17"/>
        <v>264470.16749390995</v>
      </c>
      <c r="R37" s="1268">
        <f t="shared" si="17"/>
        <v>217909.16749390995</v>
      </c>
      <c r="S37" s="1269">
        <f t="shared" si="17"/>
        <v>1163848.2924939101</v>
      </c>
    </row>
    <row r="38" spans="1:19" s="1176" customFormat="1" ht="15" x14ac:dyDescent="0.25">
      <c r="A38" s="1191">
        <v>2036</v>
      </c>
      <c r="B38" s="1270">
        <f t="shared" si="6"/>
        <v>163848.29249390995</v>
      </c>
      <c r="C38" s="1271">
        <f t="shared" si="15"/>
        <v>166868.56387563623</v>
      </c>
      <c r="D38" s="1271">
        <f t="shared" si="15"/>
        <v>173154.76501354866</v>
      </c>
      <c r="E38" s="1271">
        <f t="shared" si="15"/>
        <v>398331.42306870606</v>
      </c>
      <c r="F38" s="1271">
        <f t="shared" si="15"/>
        <v>250616.3337333313</v>
      </c>
      <c r="G38" s="1272">
        <f t="shared" si="15"/>
        <v>1163848.2924939101</v>
      </c>
      <c r="H38" s="1270">
        <f t="shared" si="8"/>
        <v>139788.33333333334</v>
      </c>
      <c r="I38" s="1271">
        <f t="shared" si="16"/>
        <v>175587.35529298309</v>
      </c>
      <c r="J38" s="1271">
        <f t="shared" si="16"/>
        <v>181873.55643089552</v>
      </c>
      <c r="K38" s="1271">
        <f t="shared" si="16"/>
        <v>296081.16782111477</v>
      </c>
      <c r="L38" s="1271">
        <f t="shared" si="16"/>
        <v>229010.51646111356</v>
      </c>
      <c r="M38" s="1272">
        <f t="shared" si="16"/>
        <v>1163848.2924939101</v>
      </c>
      <c r="N38" s="1270">
        <f t="shared" si="10"/>
        <v>84307.830725171938</v>
      </c>
      <c r="O38" s="1271">
        <f t="shared" si="17"/>
        <v>165956.76682860547</v>
      </c>
      <c r="P38" s="1271">
        <f t="shared" si="17"/>
        <v>169799.90217054487</v>
      </c>
      <c r="Q38" s="1271">
        <f t="shared" si="17"/>
        <v>262199.56389638095</v>
      </c>
      <c r="R38" s="1271">
        <f t="shared" si="17"/>
        <v>216883.63449173045</v>
      </c>
      <c r="S38" s="1272">
        <f t="shared" si="17"/>
        <v>1163848.2924939101</v>
      </c>
    </row>
    <row r="39" spans="1:19" s="1176" customFormat="1" ht="15" x14ac:dyDescent="0.25">
      <c r="A39" s="1191">
        <v>2037</v>
      </c>
      <c r="B39" s="1262">
        <f t="shared" si="6"/>
        <v>163848.29249390995</v>
      </c>
      <c r="C39" s="1265">
        <f t="shared" ref="C39:G52" si="18">$B39+INDEX(COST_Cls1,MATCH($A39,Years,0),MATCH(C$6,TECHOPTS_Cls1,0))</f>
        <v>166984.4656719105</v>
      </c>
      <c r="D39" s="1265">
        <f t="shared" si="18"/>
        <v>173219.57114226985</v>
      </c>
      <c r="E39" s="1265">
        <f t="shared" si="18"/>
        <v>393841.24958299525</v>
      </c>
      <c r="F39" s="1265">
        <f t="shared" si="18"/>
        <v>249181.52184895467</v>
      </c>
      <c r="G39" s="1266">
        <f t="shared" si="18"/>
        <v>1163848.2924939101</v>
      </c>
      <c r="H39" s="1262">
        <f t="shared" si="8"/>
        <v>139788.33333333334</v>
      </c>
      <c r="I39" s="1265">
        <f t="shared" ref="I39:M52" si="19">$B39+INDEX(COST_Cls2,MATCH($A39,Years,0),MATCH(I$6,TECHOPTS_Cls1,0))</f>
        <v>175601.01115068101</v>
      </c>
      <c r="J39" s="1265">
        <f t="shared" si="19"/>
        <v>181836.11662104036</v>
      </c>
      <c r="K39" s="1265">
        <f t="shared" si="19"/>
        <v>293480.13660539064</v>
      </c>
      <c r="L39" s="1265">
        <f t="shared" si="19"/>
        <v>228059.6590896069</v>
      </c>
      <c r="M39" s="1266">
        <f t="shared" si="19"/>
        <v>1163848.2924939101</v>
      </c>
      <c r="N39" s="1262">
        <f t="shared" si="10"/>
        <v>84319.909683867867</v>
      </c>
      <c r="O39" s="1265">
        <f t="shared" ref="O39:S52" si="20">$B39+INDEX(COST_Cls3,MATCH($A39,Years,0),MATCH(O$6,TECHOPTS_Cls1,0))</f>
        <v>165932.90396142477</v>
      </c>
      <c r="P39" s="1265">
        <f t="shared" si="20"/>
        <v>169695.33905866294</v>
      </c>
      <c r="Q39" s="1265">
        <f t="shared" si="20"/>
        <v>260788.56979932118</v>
      </c>
      <c r="R39" s="1265">
        <f t="shared" si="20"/>
        <v>216246.34975652173</v>
      </c>
      <c r="S39" s="1266">
        <f t="shared" si="20"/>
        <v>1163848.2924939101</v>
      </c>
    </row>
    <row r="40" spans="1:19" s="1176" customFormat="1" ht="15" x14ac:dyDescent="0.25">
      <c r="A40" s="1191">
        <v>2038</v>
      </c>
      <c r="B40" s="1262">
        <f t="shared" si="6"/>
        <v>163848.29249390995</v>
      </c>
      <c r="C40" s="1265">
        <f t="shared" si="18"/>
        <v>167164.03799869068</v>
      </c>
      <c r="D40" s="1265">
        <f t="shared" si="18"/>
        <v>173319.97844999217</v>
      </c>
      <c r="E40" s="1265">
        <f t="shared" si="18"/>
        <v>386884.4039913388</v>
      </c>
      <c r="F40" s="1265">
        <f t="shared" si="18"/>
        <v>246958.49755725474</v>
      </c>
      <c r="G40" s="1266">
        <f t="shared" si="18"/>
        <v>1163848.2924939101</v>
      </c>
      <c r="H40" s="1262">
        <f t="shared" si="8"/>
        <v>139788.33333333334</v>
      </c>
      <c r="I40" s="1265">
        <f t="shared" si="19"/>
        <v>175622.16883951606</v>
      </c>
      <c r="J40" s="1265">
        <f t="shared" si="19"/>
        <v>181778.10929081758</v>
      </c>
      <c r="K40" s="1265">
        <f t="shared" si="19"/>
        <v>289450.23161297658</v>
      </c>
      <c r="L40" s="1265">
        <f t="shared" si="19"/>
        <v>226586.4492160216</v>
      </c>
      <c r="M40" s="1266">
        <f t="shared" si="19"/>
        <v>1163848.2924939101</v>
      </c>
      <c r="N40" s="1262">
        <f t="shared" si="10"/>
        <v>84329.394702993392</v>
      </c>
      <c r="O40" s="1265">
        <f t="shared" si="20"/>
        <v>165895.24060770526</v>
      </c>
      <c r="P40" s="1265">
        <f t="shared" si="20"/>
        <v>169530.3045119337</v>
      </c>
      <c r="Q40" s="1265">
        <f t="shared" si="20"/>
        <v>258561.5629031529</v>
      </c>
      <c r="R40" s="1265">
        <f t="shared" si="20"/>
        <v>215240.50749035634</v>
      </c>
      <c r="S40" s="1266">
        <f t="shared" si="20"/>
        <v>1163848.2924939101</v>
      </c>
    </row>
    <row r="41" spans="1:19" s="1176" customFormat="1" ht="15" x14ac:dyDescent="0.25">
      <c r="A41" s="1191">
        <v>2039</v>
      </c>
      <c r="B41" s="1262">
        <f t="shared" si="6"/>
        <v>163848.29249390995</v>
      </c>
      <c r="C41" s="1265">
        <f t="shared" si="18"/>
        <v>167432.39588867844</v>
      </c>
      <c r="D41" s="1265">
        <f t="shared" si="18"/>
        <v>173470.02992909728</v>
      </c>
      <c r="E41" s="1265">
        <f t="shared" si="18"/>
        <v>376487.90004542121</v>
      </c>
      <c r="F41" s="1265">
        <f t="shared" si="18"/>
        <v>243636.3480979873</v>
      </c>
      <c r="G41" s="1266">
        <f t="shared" si="18"/>
        <v>1163848.2924939101</v>
      </c>
      <c r="H41" s="1262">
        <f t="shared" si="8"/>
        <v>139788.33333333334</v>
      </c>
      <c r="I41" s="1265">
        <f t="shared" si="19"/>
        <v>175653.78747939563</v>
      </c>
      <c r="J41" s="1265">
        <f t="shared" si="19"/>
        <v>181691.42151981447</v>
      </c>
      <c r="K41" s="1265">
        <f t="shared" si="19"/>
        <v>283427.82927511912</v>
      </c>
      <c r="L41" s="1265">
        <f t="shared" si="19"/>
        <v>224384.8433212087</v>
      </c>
      <c r="M41" s="1266">
        <f t="shared" si="19"/>
        <v>1163848.2924939101</v>
      </c>
      <c r="N41" s="1262">
        <f t="shared" si="10"/>
        <v>84340.183368722908</v>
      </c>
      <c r="O41" s="1265">
        <f t="shared" si="20"/>
        <v>165837.33209649159</v>
      </c>
      <c r="P41" s="1265">
        <f t="shared" si="20"/>
        <v>169276.55905498151</v>
      </c>
      <c r="Q41" s="1265">
        <f t="shared" si="20"/>
        <v>255137.47447013538</v>
      </c>
      <c r="R41" s="1265">
        <f t="shared" si="20"/>
        <v>213693.99549933244</v>
      </c>
      <c r="S41" s="1266">
        <f t="shared" si="20"/>
        <v>1163848.2924939101</v>
      </c>
    </row>
    <row r="42" spans="1:19" s="1176" customFormat="1" ht="15" x14ac:dyDescent="0.25">
      <c r="A42" s="1197">
        <v>2040</v>
      </c>
      <c r="B42" s="1267">
        <f t="shared" si="6"/>
        <v>163848.29249390995</v>
      </c>
      <c r="C42" s="1268">
        <f t="shared" si="18"/>
        <v>167812.55845890427</v>
      </c>
      <c r="D42" s="1268">
        <f t="shared" si="18"/>
        <v>173682.59664724144</v>
      </c>
      <c r="E42" s="1268">
        <f t="shared" si="18"/>
        <v>361759.94976371597</v>
      </c>
      <c r="F42" s="1268">
        <f t="shared" si="18"/>
        <v>238930.1072001807</v>
      </c>
      <c r="G42" s="1269">
        <f t="shared" si="18"/>
        <v>1163848.2924939101</v>
      </c>
      <c r="H42" s="1276">
        <f t="shared" si="8"/>
        <v>139788.33333333334</v>
      </c>
      <c r="I42" s="1277">
        <f t="shared" si="19"/>
        <v>175698.57924387179</v>
      </c>
      <c r="J42" s="1277">
        <f t="shared" si="19"/>
        <v>181568.61743220896</v>
      </c>
      <c r="K42" s="1277">
        <f t="shared" si="19"/>
        <v>274896.34189534269</v>
      </c>
      <c r="L42" s="1277">
        <f t="shared" si="19"/>
        <v>221265.99276073283</v>
      </c>
      <c r="M42" s="1278">
        <f t="shared" si="19"/>
        <v>1163848.2924939101</v>
      </c>
      <c r="N42" s="1276">
        <f t="shared" si="10"/>
        <v>84354.477774657062</v>
      </c>
      <c r="O42" s="1277">
        <f t="shared" si="20"/>
        <v>165751.78595161234</v>
      </c>
      <c r="P42" s="1277">
        <f t="shared" si="20"/>
        <v>168901.71008774085</v>
      </c>
      <c r="Q42" s="1277">
        <f t="shared" si="20"/>
        <v>250079.19272482241</v>
      </c>
      <c r="R42" s="1277">
        <f t="shared" si="20"/>
        <v>211409.38938411896</v>
      </c>
      <c r="S42" s="1278">
        <f t="shared" si="20"/>
        <v>1163848.2924939101</v>
      </c>
    </row>
    <row r="43" spans="1:19" s="1176" customFormat="1" ht="15" x14ac:dyDescent="0.25">
      <c r="A43" s="1191">
        <v>2041</v>
      </c>
      <c r="B43" s="1270">
        <f t="shared" si="6"/>
        <v>163848.29249390995</v>
      </c>
      <c r="C43" s="1271">
        <f t="shared" si="18"/>
        <v>168312.230578216</v>
      </c>
      <c r="D43" s="1271">
        <f t="shared" si="18"/>
        <v>173961.98675786474</v>
      </c>
      <c r="E43" s="1271">
        <f t="shared" si="18"/>
        <v>342402.05735993379</v>
      </c>
      <c r="F43" s="1271">
        <f t="shared" si="18"/>
        <v>232744.39206783223</v>
      </c>
      <c r="G43" s="1272">
        <f t="shared" si="18"/>
        <v>1163848.2924939101</v>
      </c>
      <c r="H43" s="1270">
        <f t="shared" si="8"/>
        <v>139788.33333333334</v>
      </c>
      <c r="I43" s="1271">
        <f t="shared" si="19"/>
        <v>175757.45194107137</v>
      </c>
      <c r="J43" s="1271">
        <f t="shared" si="19"/>
        <v>181407.20812072011</v>
      </c>
      <c r="K43" s="1271">
        <f t="shared" si="19"/>
        <v>263682.85925973894</v>
      </c>
      <c r="L43" s="1271">
        <f t="shared" si="19"/>
        <v>217166.68685472617</v>
      </c>
      <c r="M43" s="1272">
        <f t="shared" si="19"/>
        <v>1163848.2924939101</v>
      </c>
      <c r="N43" s="1270">
        <f t="shared" si="10"/>
        <v>84371.726593949134</v>
      </c>
      <c r="O43" s="1271">
        <f t="shared" si="20"/>
        <v>165632.59485260723</v>
      </c>
      <c r="P43" s="1271">
        <f t="shared" si="20"/>
        <v>168379.43453190598</v>
      </c>
      <c r="Q43" s="1271">
        <f t="shared" si="20"/>
        <v>243031.50914828893</v>
      </c>
      <c r="R43" s="1271">
        <f t="shared" si="20"/>
        <v>208226.25688819628</v>
      </c>
      <c r="S43" s="1272">
        <f t="shared" si="20"/>
        <v>1163848.2924939101</v>
      </c>
    </row>
    <row r="44" spans="1:19" s="1176" customFormat="1" ht="15" x14ac:dyDescent="0.25">
      <c r="A44" s="1191">
        <v>2042</v>
      </c>
      <c r="B44" s="1262">
        <f t="shared" si="6"/>
        <v>163848.29249390995</v>
      </c>
      <c r="C44" s="1265">
        <f t="shared" si="18"/>
        <v>168908.05247017351</v>
      </c>
      <c r="D44" s="1265">
        <f t="shared" si="18"/>
        <v>174295.13871466211</v>
      </c>
      <c r="E44" s="1265">
        <f t="shared" si="18"/>
        <v>319319.20836643968</v>
      </c>
      <c r="F44" s="1265">
        <f t="shared" si="18"/>
        <v>225368.38618152647</v>
      </c>
      <c r="G44" s="1266">
        <f t="shared" si="18"/>
        <v>1163848.2924939101</v>
      </c>
      <c r="H44" s="1262">
        <f t="shared" si="8"/>
        <v>139788.33333333334</v>
      </c>
      <c r="I44" s="1265">
        <f t="shared" si="19"/>
        <v>175827.65326004513</v>
      </c>
      <c r="J44" s="1265">
        <f t="shared" si="19"/>
        <v>181214.73950453373</v>
      </c>
      <c r="K44" s="1265">
        <f t="shared" si="19"/>
        <v>250311.61403480743</v>
      </c>
      <c r="L44" s="1265">
        <f t="shared" si="19"/>
        <v>212278.56901458348</v>
      </c>
      <c r="M44" s="1266">
        <f t="shared" si="19"/>
        <v>1163848.2924939101</v>
      </c>
      <c r="N44" s="1262">
        <f t="shared" si="10"/>
        <v>84392.430679444951</v>
      </c>
      <c r="O44" s="1265">
        <f t="shared" si="20"/>
        <v>165479.39059682528</v>
      </c>
      <c r="P44" s="1265">
        <f t="shared" si="20"/>
        <v>167708.11898474957</v>
      </c>
      <c r="Q44" s="1265">
        <f t="shared" si="20"/>
        <v>233972.65218378269</v>
      </c>
      <c r="R44" s="1265">
        <f t="shared" si="20"/>
        <v>204134.7647452107</v>
      </c>
      <c r="S44" s="1266">
        <f t="shared" si="20"/>
        <v>1163848.2924939101</v>
      </c>
    </row>
    <row r="45" spans="1:19" s="1176" customFormat="1" ht="15" x14ac:dyDescent="0.25">
      <c r="A45" s="1191">
        <v>2043</v>
      </c>
      <c r="B45" s="1262">
        <f t="shared" si="6"/>
        <v>163848.29249390995</v>
      </c>
      <c r="C45" s="1265">
        <f t="shared" si="18"/>
        <v>169541.30758733599</v>
      </c>
      <c r="D45" s="1265">
        <f t="shared" si="18"/>
        <v>174649.22134284739</v>
      </c>
      <c r="E45" s="1265">
        <f t="shared" si="18"/>
        <v>294786.15169107006</v>
      </c>
      <c r="F45" s="1265">
        <f t="shared" si="18"/>
        <v>217528.97387598304</v>
      </c>
      <c r="G45" s="1266">
        <f t="shared" si="18"/>
        <v>1163848.2924939101</v>
      </c>
      <c r="H45" s="1262">
        <f t="shared" si="8"/>
        <v>139788.33333333334</v>
      </c>
      <c r="I45" s="1265">
        <f t="shared" si="19"/>
        <v>175902.26506110808</v>
      </c>
      <c r="J45" s="1265">
        <f t="shared" si="19"/>
        <v>181010.17881661947</v>
      </c>
      <c r="K45" s="1265">
        <f t="shared" si="19"/>
        <v>236100.3042863459</v>
      </c>
      <c r="L45" s="1265">
        <f t="shared" si="19"/>
        <v>207083.34930656975</v>
      </c>
      <c r="M45" s="1266">
        <f t="shared" si="19"/>
        <v>1163848.2924939101</v>
      </c>
      <c r="N45" s="1262">
        <f t="shared" si="10"/>
        <v>84416.778456341228</v>
      </c>
      <c r="O45" s="1265">
        <f t="shared" si="20"/>
        <v>165301.65036064474</v>
      </c>
      <c r="P45" s="1265">
        <f t="shared" si="20"/>
        <v>166929.29085563365</v>
      </c>
      <c r="Q45" s="1265">
        <f t="shared" si="20"/>
        <v>223463.00042392095</v>
      </c>
      <c r="R45" s="1265">
        <f t="shared" si="20"/>
        <v>199388.01162067536</v>
      </c>
      <c r="S45" s="1266">
        <f t="shared" si="20"/>
        <v>1163848.2924939101</v>
      </c>
    </row>
    <row r="46" spans="1:19" s="1176" customFormat="1" ht="15" x14ac:dyDescent="0.25">
      <c r="A46" s="1191">
        <v>2044</v>
      </c>
      <c r="B46" s="1262">
        <f t="shared" si="6"/>
        <v>163848.29249390995</v>
      </c>
      <c r="C46" s="1265">
        <f t="shared" si="18"/>
        <v>170137.12947929351</v>
      </c>
      <c r="D46" s="1265">
        <f t="shared" si="18"/>
        <v>174982.37329964477</v>
      </c>
      <c r="E46" s="1265">
        <f t="shared" si="18"/>
        <v>271703.30269757594</v>
      </c>
      <c r="F46" s="1265">
        <f t="shared" si="18"/>
        <v>210152.9679896773</v>
      </c>
      <c r="G46" s="1266">
        <f t="shared" si="18"/>
        <v>1163848.2924939101</v>
      </c>
      <c r="H46" s="1262">
        <f t="shared" si="8"/>
        <v>139788.33333333334</v>
      </c>
      <c r="I46" s="1265">
        <f t="shared" si="19"/>
        <v>175972.46638008184</v>
      </c>
      <c r="J46" s="1265">
        <f t="shared" si="19"/>
        <v>180817.7102004331</v>
      </c>
      <c r="K46" s="1265">
        <f t="shared" si="19"/>
        <v>222729.05906141445</v>
      </c>
      <c r="L46" s="1265">
        <f t="shared" si="19"/>
        <v>202195.23146642707</v>
      </c>
      <c r="M46" s="1266">
        <f t="shared" si="19"/>
        <v>1163848.2924939101</v>
      </c>
      <c r="N46" s="1262">
        <f t="shared" si="10"/>
        <v>84454.394726259314</v>
      </c>
      <c r="O46" s="1265">
        <f t="shared" si="20"/>
        <v>165118.3913426029</v>
      </c>
      <c r="P46" s="1265">
        <f t="shared" si="20"/>
        <v>166126.28034303267</v>
      </c>
      <c r="Q46" s="1265">
        <f t="shared" si="20"/>
        <v>212627.02707955273</v>
      </c>
      <c r="R46" s="1265">
        <f t="shared" si="20"/>
        <v>194493.87321294961</v>
      </c>
      <c r="S46" s="1266">
        <f t="shared" si="20"/>
        <v>1163848.2924939101</v>
      </c>
    </row>
    <row r="47" spans="1:19" s="1176" customFormat="1" ht="15" x14ac:dyDescent="0.25">
      <c r="A47" s="1197">
        <v>2045</v>
      </c>
      <c r="B47" s="1267">
        <f t="shared" si="6"/>
        <v>163848.29249390995</v>
      </c>
      <c r="C47" s="1268">
        <f t="shared" si="18"/>
        <v>170636.80159860523</v>
      </c>
      <c r="D47" s="1268">
        <f t="shared" si="18"/>
        <v>175261.76341026806</v>
      </c>
      <c r="E47" s="1268">
        <f t="shared" si="18"/>
        <v>252345.41029379366</v>
      </c>
      <c r="F47" s="1268">
        <f t="shared" si="18"/>
        <v>203967.2528573288</v>
      </c>
      <c r="G47" s="1269">
        <f t="shared" si="18"/>
        <v>1163848.2924939101</v>
      </c>
      <c r="H47" s="1267">
        <f t="shared" si="8"/>
        <v>139788.33333333334</v>
      </c>
      <c r="I47" s="1268">
        <f t="shared" si="19"/>
        <v>176031.33907728142</v>
      </c>
      <c r="J47" s="1268">
        <f t="shared" si="19"/>
        <v>180656.30088894424</v>
      </c>
      <c r="K47" s="1268">
        <f t="shared" si="19"/>
        <v>211515.57642581052</v>
      </c>
      <c r="L47" s="1268">
        <f t="shared" si="19"/>
        <v>198095.92556042038</v>
      </c>
      <c r="M47" s="1269">
        <f t="shared" si="19"/>
        <v>1163848.2924939101</v>
      </c>
      <c r="N47" s="1267">
        <f t="shared" si="10"/>
        <v>84486.497002834571</v>
      </c>
      <c r="O47" s="1268">
        <f t="shared" si="20"/>
        <v>164951.04676835358</v>
      </c>
      <c r="P47" s="1268">
        <f t="shared" si="20"/>
        <v>165393.00427408502</v>
      </c>
      <c r="Q47" s="1268">
        <f t="shared" si="20"/>
        <v>202732.06329950975</v>
      </c>
      <c r="R47" s="1268">
        <f t="shared" si="20"/>
        <v>190024.74794473988</v>
      </c>
      <c r="S47" s="1269">
        <f t="shared" si="20"/>
        <v>1163848.2924939101</v>
      </c>
    </row>
    <row r="48" spans="1:19" s="1176" customFormat="1" ht="15" x14ac:dyDescent="0.25">
      <c r="A48" s="1191">
        <v>2046</v>
      </c>
      <c r="B48" s="1270">
        <f t="shared" si="6"/>
        <v>163848.29249390995</v>
      </c>
      <c r="C48" s="1271">
        <f t="shared" si="18"/>
        <v>171016.96416883107</v>
      </c>
      <c r="D48" s="1271">
        <f t="shared" si="18"/>
        <v>175474.33012841223</v>
      </c>
      <c r="E48" s="1271">
        <f t="shared" si="18"/>
        <v>237617.46001208853</v>
      </c>
      <c r="F48" s="1271">
        <f t="shared" si="18"/>
        <v>199261.01195952223</v>
      </c>
      <c r="G48" s="1272">
        <f t="shared" si="18"/>
        <v>1163848.2924939101</v>
      </c>
      <c r="H48" s="1270">
        <f t="shared" si="8"/>
        <v>139788.33333333334</v>
      </c>
      <c r="I48" s="1271">
        <f t="shared" si="19"/>
        <v>176076.13084175758</v>
      </c>
      <c r="J48" s="1271">
        <f t="shared" si="19"/>
        <v>180533.49680133874</v>
      </c>
      <c r="K48" s="1271">
        <f t="shared" si="19"/>
        <v>202984.08904603415</v>
      </c>
      <c r="L48" s="1271">
        <f t="shared" si="19"/>
        <v>194977.07499994451</v>
      </c>
      <c r="M48" s="1272">
        <f t="shared" si="19"/>
        <v>1163848.2924939101</v>
      </c>
      <c r="N48" s="1270">
        <f t="shared" si="10"/>
        <v>84522.416710004894</v>
      </c>
      <c r="O48" s="1271">
        <f t="shared" si="20"/>
        <v>164814.34992959141</v>
      </c>
      <c r="P48" s="1271">
        <f t="shared" si="20"/>
        <v>164794.02148056007</v>
      </c>
      <c r="Q48" s="1271">
        <f t="shared" si="20"/>
        <v>194649.27797787267</v>
      </c>
      <c r="R48" s="1271">
        <f t="shared" si="20"/>
        <v>186374.10495893139</v>
      </c>
      <c r="S48" s="1272">
        <f t="shared" si="20"/>
        <v>1163848.2924939101</v>
      </c>
    </row>
    <row r="49" spans="1:19" s="1176" customFormat="1" ht="15" x14ac:dyDescent="0.25">
      <c r="A49" s="1191">
        <v>2047</v>
      </c>
      <c r="B49" s="1262">
        <f t="shared" si="6"/>
        <v>163848.29249390995</v>
      </c>
      <c r="C49" s="1265">
        <f t="shared" si="18"/>
        <v>171285.32205881883</v>
      </c>
      <c r="D49" s="1265">
        <f t="shared" si="18"/>
        <v>175624.38160751734</v>
      </c>
      <c r="E49" s="1265">
        <f t="shared" si="18"/>
        <v>227220.95606617094</v>
      </c>
      <c r="F49" s="1265">
        <f t="shared" si="18"/>
        <v>195938.86250025479</v>
      </c>
      <c r="G49" s="1266">
        <f t="shared" si="18"/>
        <v>1163848.2924939101</v>
      </c>
      <c r="H49" s="1262">
        <f t="shared" si="8"/>
        <v>139788.33333333334</v>
      </c>
      <c r="I49" s="1265">
        <f t="shared" si="19"/>
        <v>176107.74948163715</v>
      </c>
      <c r="J49" s="1265">
        <f t="shared" si="19"/>
        <v>180446.80903033563</v>
      </c>
      <c r="K49" s="1265">
        <f t="shared" si="19"/>
        <v>196961.68670817671</v>
      </c>
      <c r="L49" s="1265">
        <f t="shared" si="19"/>
        <v>192775.4691051316</v>
      </c>
      <c r="M49" s="1266">
        <f t="shared" si="19"/>
        <v>1163848.2924939101</v>
      </c>
      <c r="N49" s="1262">
        <f t="shared" si="10"/>
        <v>84572.040348507464</v>
      </c>
      <c r="O49" s="1265">
        <f t="shared" si="20"/>
        <v>164712.49646675261</v>
      </c>
      <c r="P49" s="1265">
        <f t="shared" si="20"/>
        <v>164347.71656046237</v>
      </c>
      <c r="Q49" s="1265">
        <f t="shared" si="20"/>
        <v>188626.75630256499</v>
      </c>
      <c r="R49" s="1265">
        <f t="shared" si="20"/>
        <v>183653.99355723587</v>
      </c>
      <c r="S49" s="1266">
        <f t="shared" si="20"/>
        <v>1163848.2924939101</v>
      </c>
    </row>
    <row r="50" spans="1:19" s="1176" customFormat="1" ht="15" x14ac:dyDescent="0.25">
      <c r="A50" s="1191">
        <v>2048</v>
      </c>
      <c r="B50" s="1262">
        <f t="shared" si="6"/>
        <v>163848.29249390995</v>
      </c>
      <c r="C50" s="1265">
        <f t="shared" si="18"/>
        <v>171464.89438559901</v>
      </c>
      <c r="D50" s="1265">
        <f t="shared" si="18"/>
        <v>175724.78891523965</v>
      </c>
      <c r="E50" s="1265">
        <f t="shared" si="18"/>
        <v>220264.1104745144</v>
      </c>
      <c r="F50" s="1265">
        <f t="shared" si="18"/>
        <v>193715.83820855481</v>
      </c>
      <c r="G50" s="1266">
        <f t="shared" si="18"/>
        <v>1163848.2924939101</v>
      </c>
      <c r="H50" s="1262">
        <f t="shared" si="8"/>
        <v>139788.33333333334</v>
      </c>
      <c r="I50" s="1265">
        <f t="shared" si="19"/>
        <v>176128.9071704722</v>
      </c>
      <c r="J50" s="1265">
        <f t="shared" si="19"/>
        <v>180388.80170011285</v>
      </c>
      <c r="K50" s="1265">
        <f t="shared" si="19"/>
        <v>192931.78171576257</v>
      </c>
      <c r="L50" s="1265">
        <f t="shared" si="19"/>
        <v>191302.25923154628</v>
      </c>
      <c r="M50" s="1266">
        <f t="shared" si="19"/>
        <v>1163848.2924939101</v>
      </c>
      <c r="N50" s="1262">
        <f t="shared" si="10"/>
        <v>84617.532525963965</v>
      </c>
      <c r="O50" s="1265">
        <f t="shared" si="20"/>
        <v>164641.68589361722</v>
      </c>
      <c r="P50" s="1265">
        <f t="shared" si="20"/>
        <v>164037.43641578732</v>
      </c>
      <c r="Q50" s="1265">
        <f t="shared" si="20"/>
        <v>184439.7782689959</v>
      </c>
      <c r="R50" s="1265">
        <f t="shared" si="20"/>
        <v>181762.91747618921</v>
      </c>
      <c r="S50" s="1266">
        <f t="shared" si="20"/>
        <v>1163848.2924939101</v>
      </c>
    </row>
    <row r="51" spans="1:19" s="1176" customFormat="1" ht="15" x14ac:dyDescent="0.25">
      <c r="A51" s="1191">
        <v>2049</v>
      </c>
      <c r="B51" s="1262">
        <f t="shared" si="6"/>
        <v>163848.29249390995</v>
      </c>
      <c r="C51" s="1265">
        <f t="shared" si="18"/>
        <v>171580.79618187327</v>
      </c>
      <c r="D51" s="1265">
        <f t="shared" si="18"/>
        <v>175789.59504396084</v>
      </c>
      <c r="E51" s="1265">
        <f t="shared" si="18"/>
        <v>215773.93698880359</v>
      </c>
      <c r="F51" s="1265">
        <f t="shared" si="18"/>
        <v>192281.02632417821</v>
      </c>
      <c r="G51" s="1266">
        <f t="shared" si="18"/>
        <v>1163848.2924939101</v>
      </c>
      <c r="H51" s="1262">
        <f t="shared" si="8"/>
        <v>139788.33333333334</v>
      </c>
      <c r="I51" s="1265">
        <f t="shared" si="19"/>
        <v>176142.56302817012</v>
      </c>
      <c r="J51" s="1265">
        <f t="shared" si="19"/>
        <v>180351.36189025769</v>
      </c>
      <c r="K51" s="1265">
        <f t="shared" si="19"/>
        <v>190330.75050003832</v>
      </c>
      <c r="L51" s="1265">
        <f t="shared" si="19"/>
        <v>190351.40186003962</v>
      </c>
      <c r="M51" s="1266">
        <f t="shared" si="19"/>
        <v>1163848.2924939101</v>
      </c>
      <c r="N51" s="1262">
        <f t="shared" si="10"/>
        <v>84669.900061685781</v>
      </c>
      <c r="O51" s="1265">
        <f t="shared" si="20"/>
        <v>164594.79604493256</v>
      </c>
      <c r="P51" s="1265">
        <f t="shared" si="20"/>
        <v>163998.29249390995</v>
      </c>
      <c r="Q51" s="1265">
        <f t="shared" si="20"/>
        <v>181667.21539106846</v>
      </c>
      <c r="R51" s="1265">
        <f t="shared" si="20"/>
        <v>180510.6712738901</v>
      </c>
      <c r="S51" s="1266">
        <f t="shared" si="20"/>
        <v>1163848.2924939101</v>
      </c>
    </row>
    <row r="52" spans="1:19" s="1176" customFormat="1" ht="15.75" thickBot="1" x14ac:dyDescent="0.3">
      <c r="A52" s="1204">
        <v>2050</v>
      </c>
      <c r="B52" s="1273">
        <f t="shared" si="6"/>
        <v>163848.29249390995</v>
      </c>
      <c r="C52" s="1274">
        <f t="shared" si="18"/>
        <v>171770.87959024837</v>
      </c>
      <c r="D52" s="1274">
        <f t="shared" si="18"/>
        <v>175895.87959024837</v>
      </c>
      <c r="E52" s="1274">
        <f t="shared" si="18"/>
        <v>208409.87959024837</v>
      </c>
      <c r="F52" s="1274">
        <f t="shared" si="18"/>
        <v>189927.87959024837</v>
      </c>
      <c r="G52" s="1275">
        <f t="shared" si="18"/>
        <v>1163848.2924939101</v>
      </c>
      <c r="H52" s="1273">
        <f t="shared" si="8"/>
        <v>139788.33333333334</v>
      </c>
      <c r="I52" s="1274">
        <f t="shared" si="19"/>
        <v>176164.9591605766</v>
      </c>
      <c r="J52" s="1274">
        <f t="shared" si="19"/>
        <v>180289.9591605766</v>
      </c>
      <c r="K52" s="1274">
        <f t="shared" si="19"/>
        <v>186064.9591605766</v>
      </c>
      <c r="L52" s="1274">
        <f t="shared" si="19"/>
        <v>188791.9591605766</v>
      </c>
      <c r="M52" s="1275">
        <f t="shared" si="19"/>
        <v>1163848.2924939101</v>
      </c>
      <c r="N52" s="1273">
        <f t="shared" si="10"/>
        <v>84730.5</v>
      </c>
      <c r="O52" s="1274">
        <f t="shared" si="20"/>
        <v>164515.79249390995</v>
      </c>
      <c r="P52" s="1274">
        <f t="shared" si="20"/>
        <v>163948.29249390995</v>
      </c>
      <c r="Q52" s="1274">
        <f t="shared" si="20"/>
        <v>176995.79249390995</v>
      </c>
      <c r="R52" s="1274">
        <f t="shared" si="20"/>
        <v>178400.79249390995</v>
      </c>
      <c r="S52" s="1275">
        <f t="shared" si="20"/>
        <v>1163848.2924939101</v>
      </c>
    </row>
  </sheetData>
  <mergeCells count="6">
    <mergeCell ref="B4:G4"/>
    <mergeCell ref="H4:M4"/>
    <mergeCell ref="N4:S4"/>
    <mergeCell ref="B5:G5"/>
    <mergeCell ref="H5:M5"/>
    <mergeCell ref="N5:S5"/>
  </mergeCells>
  <conditionalFormatting sqref="B6:S52">
    <cfRule type="expression" dxfId="0" priority="1">
      <formula>B$7="not used"</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defaultColWidth="14.7109375" defaultRowHeight="12.75" x14ac:dyDescent="0.2"/>
  <cols>
    <col min="1" max="12" width="14.7109375" style="48"/>
    <col min="13" max="13" width="19.140625" style="48" bestFit="1" customWidth="1"/>
    <col min="14" max="15" width="14.7109375" style="48"/>
    <col min="16" max="16" width="15.7109375" style="48" customWidth="1"/>
    <col min="17" max="16384" width="14.7109375" style="48"/>
  </cols>
  <sheetData>
    <row r="1" spans="1:30" ht="23.25" x14ac:dyDescent="0.35">
      <c r="A1" s="71" t="s">
        <v>235</v>
      </c>
      <c r="K1" s="71" t="s">
        <v>236</v>
      </c>
      <c r="U1" s="71" t="s">
        <v>155</v>
      </c>
    </row>
    <row r="2" spans="1:30" x14ac:dyDescent="0.2">
      <c r="A2" s="50" t="s">
        <v>9</v>
      </c>
      <c r="K2" s="50" t="s">
        <v>9</v>
      </c>
      <c r="U2" s="50" t="s">
        <v>9</v>
      </c>
    </row>
    <row r="3" spans="1:30" x14ac:dyDescent="0.2">
      <c r="A3" s="49" t="s">
        <v>237</v>
      </c>
      <c r="K3" s="49" t="s">
        <v>237</v>
      </c>
      <c r="U3" s="49" t="s">
        <v>238</v>
      </c>
    </row>
    <row r="4" spans="1:30" ht="13.5" thickBot="1" x14ac:dyDescent="0.25"/>
    <row r="5" spans="1:30" ht="18.75" x14ac:dyDescent="0.3">
      <c r="A5" s="72"/>
      <c r="B5" s="1612" t="s">
        <v>10</v>
      </c>
      <c r="C5" s="1611"/>
      <c r="D5" s="1611"/>
      <c r="E5" s="1613"/>
      <c r="F5" s="1612" t="s">
        <v>11</v>
      </c>
      <c r="G5" s="1611"/>
      <c r="H5" s="1611"/>
      <c r="I5" s="1613"/>
      <c r="J5" s="74"/>
      <c r="K5" s="72"/>
      <c r="L5" s="1612" t="s">
        <v>10</v>
      </c>
      <c r="M5" s="1611"/>
      <c r="N5" s="1611"/>
      <c r="O5" s="1613"/>
      <c r="P5" s="1612" t="s">
        <v>11</v>
      </c>
      <c r="Q5" s="1611"/>
      <c r="R5" s="1611"/>
      <c r="S5" s="1613"/>
      <c r="T5" s="74">
        <v>1</v>
      </c>
      <c r="U5" s="72"/>
      <c r="V5" s="1611" t="s">
        <v>10</v>
      </c>
      <c r="W5" s="1611"/>
      <c r="X5" s="1611"/>
      <c r="Y5" s="1611"/>
      <c r="Z5" s="1612" t="s">
        <v>11</v>
      </c>
      <c r="AA5" s="1611"/>
      <c r="AB5" s="1613"/>
      <c r="AC5" s="73"/>
    </row>
    <row r="6" spans="1:30" s="1299" customFormat="1" ht="45" customHeight="1" thickBot="1" x14ac:dyDescent="0.25">
      <c r="A6" s="1288" t="s">
        <v>12</v>
      </c>
      <c r="B6" s="1289" t="s">
        <v>13</v>
      </c>
      <c r="C6" s="1290" t="s">
        <v>359</v>
      </c>
      <c r="D6" s="1291" t="s">
        <v>15</v>
      </c>
      <c r="E6" s="1292" t="s">
        <v>358</v>
      </c>
      <c r="F6" s="1289" t="s">
        <v>13</v>
      </c>
      <c r="G6" s="1290" t="s">
        <v>359</v>
      </c>
      <c r="H6" s="1291" t="s">
        <v>15</v>
      </c>
      <c r="I6" s="1292" t="s">
        <v>358</v>
      </c>
      <c r="J6" s="1293" t="s">
        <v>360</v>
      </c>
      <c r="K6" s="1288" t="s">
        <v>12</v>
      </c>
      <c r="L6" s="1289" t="s">
        <v>13</v>
      </c>
      <c r="M6" s="1290" t="s">
        <v>359</v>
      </c>
      <c r="N6" s="1291" t="s">
        <v>15</v>
      </c>
      <c r="O6" s="1292" t="s">
        <v>358</v>
      </c>
      <c r="P6" s="1289" t="s">
        <v>13</v>
      </c>
      <c r="Q6" s="1290" t="s">
        <v>359</v>
      </c>
      <c r="R6" s="1291" t="s">
        <v>15</v>
      </c>
      <c r="S6" s="1292" t="s">
        <v>358</v>
      </c>
      <c r="T6" s="1293"/>
      <c r="U6" s="1288" t="s">
        <v>12</v>
      </c>
      <c r="V6" s="1294" t="s">
        <v>13</v>
      </c>
      <c r="W6" s="1295" t="s">
        <v>14</v>
      </c>
      <c r="X6" s="1294" t="s">
        <v>15</v>
      </c>
      <c r="Y6" s="1295" t="s">
        <v>16</v>
      </c>
      <c r="Z6" s="1296" t="s">
        <v>13</v>
      </c>
      <c r="AA6" s="1295" t="s">
        <v>14</v>
      </c>
      <c r="AB6" s="1297" t="s">
        <v>15</v>
      </c>
      <c r="AC6" s="1298" t="s">
        <v>16</v>
      </c>
    </row>
    <row r="7" spans="1:30" ht="18.75" x14ac:dyDescent="0.3">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8.75" x14ac:dyDescent="0.3">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8.75" x14ac:dyDescent="0.3">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8.75" x14ac:dyDescent="0.3">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8.75" x14ac:dyDescent="0.3">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8.75" x14ac:dyDescent="0.3">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8.75" x14ac:dyDescent="0.3">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8.75" x14ac:dyDescent="0.3">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8.75" x14ac:dyDescent="0.3">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8.75" x14ac:dyDescent="0.3">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8.75" x14ac:dyDescent="0.3">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8.75" x14ac:dyDescent="0.3">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8.75" x14ac:dyDescent="0.3">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8.75" x14ac:dyDescent="0.3">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8.75" x14ac:dyDescent="0.3">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8.75" x14ac:dyDescent="0.3">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8.75" x14ac:dyDescent="0.3">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8.75" x14ac:dyDescent="0.3">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8.75" x14ac:dyDescent="0.3">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8.75" x14ac:dyDescent="0.3">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8.75" x14ac:dyDescent="0.3">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8.75" x14ac:dyDescent="0.3">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8.75" x14ac:dyDescent="0.3">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0">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8.75" x14ac:dyDescent="0.3">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8.75" x14ac:dyDescent="0.3">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8.75" x14ac:dyDescent="0.3">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8.75" x14ac:dyDescent="0.3">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8.75" x14ac:dyDescent="0.3">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8.75" x14ac:dyDescent="0.3">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8.75" x14ac:dyDescent="0.3">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8.75" x14ac:dyDescent="0.3">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8.75" x14ac:dyDescent="0.3">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8.75" x14ac:dyDescent="0.3">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8.75" x14ac:dyDescent="0.3">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8.75" x14ac:dyDescent="0.3">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8.75" x14ac:dyDescent="0.3">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8.75" x14ac:dyDescent="0.3">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8.75" x14ac:dyDescent="0.3">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8.75" x14ac:dyDescent="0.3">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8.75" x14ac:dyDescent="0.3">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8.75" x14ac:dyDescent="0.3">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19.5" thickBot="1" x14ac:dyDescent="0.35">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0.25" thickTop="1" thickBot="1" x14ac:dyDescent="0.35">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8.75" x14ac:dyDescent="0.3">
      <c r="A50" s="106"/>
      <c r="B50" s="107"/>
      <c r="C50" s="108" t="s">
        <v>10</v>
      </c>
      <c r="D50" s="109"/>
      <c r="E50" s="108" t="s">
        <v>17</v>
      </c>
      <c r="F50" s="110"/>
      <c r="G50" s="111" t="s">
        <v>364</v>
      </c>
      <c r="H50" s="112">
        <f>(E51*1000)/C51</f>
        <v>114290.39175651137</v>
      </c>
      <c r="I50" s="110"/>
      <c r="J50" s="117">
        <f>SUM(C7:C28,E7:E28)/E51</f>
        <v>0.28193734312603552</v>
      </c>
      <c r="K50" s="106"/>
      <c r="L50" s="107"/>
      <c r="M50" s="108" t="s">
        <v>10</v>
      </c>
      <c r="N50" s="109"/>
      <c r="O50" s="108" t="s">
        <v>17</v>
      </c>
      <c r="P50" s="110"/>
      <c r="Q50" s="111" t="s">
        <v>364</v>
      </c>
      <c r="R50" s="112">
        <f>(O51*1000)/M51</f>
        <v>76984.800905352895</v>
      </c>
      <c r="S50" s="110"/>
      <c r="T50" s="48">
        <f>(AB50-H50)/H50</f>
        <v>-0.76147582411578907</v>
      </c>
      <c r="U50" s="106"/>
      <c r="V50" s="107"/>
      <c r="W50" s="108" t="s">
        <v>10</v>
      </c>
      <c r="X50" s="109"/>
      <c r="Y50" s="108" t="s">
        <v>17</v>
      </c>
      <c r="Z50" s="110"/>
      <c r="AA50" s="111" t="s">
        <v>364</v>
      </c>
      <c r="AB50" s="112">
        <f>(Y51*1000)/W51</f>
        <v>27261.021505205488</v>
      </c>
      <c r="AC50" s="110"/>
    </row>
    <row r="51" spans="1:29" ht="15.75" x14ac:dyDescent="0.25">
      <c r="A51" s="111" t="s">
        <v>18</v>
      </c>
      <c r="C51" s="112">
        <f>B49+D49</f>
        <v>137873.22849999985</v>
      </c>
      <c r="E51" s="112">
        <f>C49+E49</f>
        <v>15757585.297999991</v>
      </c>
      <c r="G51" s="111" t="s">
        <v>363</v>
      </c>
      <c r="H51" s="215">
        <f>H50/OPDAYS_Cls1</f>
        <v>457.16156702604547</v>
      </c>
      <c r="I51" s="113"/>
      <c r="K51" s="111" t="s">
        <v>18</v>
      </c>
      <c r="M51" s="112">
        <f>+L49+N49</f>
        <v>74071.53689999989</v>
      </c>
      <c r="O51" s="112">
        <f>+M49+O49</f>
        <v>5702382.5209999923</v>
      </c>
      <c r="Q51" s="111" t="s">
        <v>363</v>
      </c>
      <c r="R51" s="215">
        <f>R50/OPDAYS_Cls1</f>
        <v>307.93920362141159</v>
      </c>
      <c r="S51" s="113"/>
      <c r="U51" s="111" t="s">
        <v>18</v>
      </c>
      <c r="W51" s="112">
        <f>+V49+X49</f>
        <v>77549.675199999983</v>
      </c>
      <c r="Y51" s="112">
        <f>W49+Y49</f>
        <v>2114083.3633489003</v>
      </c>
      <c r="AA51" s="111" t="s">
        <v>363</v>
      </c>
      <c r="AB51" s="215">
        <f>AB50/OPDAYS_Cls1</f>
        <v>109.04408602082195</v>
      </c>
      <c r="AC51" s="113"/>
    </row>
    <row r="52" spans="1:29" ht="15.75" x14ac:dyDescent="0.25">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4" thickBot="1" x14ac:dyDescent="0.4">
      <c r="A53" s="71" t="s">
        <v>235</v>
      </c>
      <c r="K53" s="71" t="s">
        <v>236</v>
      </c>
      <c r="L53" s="117"/>
      <c r="M53" s="91"/>
      <c r="U53" s="71" t="s">
        <v>155</v>
      </c>
      <c r="V53" s="117"/>
      <c r="W53" s="91"/>
    </row>
    <row r="54" spans="1:29" s="113" customFormat="1" ht="18.75" customHeight="1" x14ac:dyDescent="0.25">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25.5"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5.75" x14ac:dyDescent="0.25">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5.75" x14ac:dyDescent="0.25">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5.75" x14ac:dyDescent="0.25">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6.5" thickBot="1" x14ac:dyDescent="0.3">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6.5" thickTop="1" x14ac:dyDescent="0.25">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5.75" x14ac:dyDescent="0.25">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5.75" x14ac:dyDescent="0.25">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5.75" x14ac:dyDescent="0.25">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5.75" x14ac:dyDescent="0.25">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6.5" thickBot="1" x14ac:dyDescent="0.3">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6.5" thickTop="1" x14ac:dyDescent="0.25">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5.75" x14ac:dyDescent="0.25">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5.75" x14ac:dyDescent="0.25">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5.75" x14ac:dyDescent="0.25">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5.75" x14ac:dyDescent="0.25">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6.5" thickBot="1" x14ac:dyDescent="0.3">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6.5" thickTop="1" x14ac:dyDescent="0.25">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5.75" x14ac:dyDescent="0.25">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5.75" x14ac:dyDescent="0.25">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5.75" x14ac:dyDescent="0.25">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5.75" x14ac:dyDescent="0.25">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6.5" thickBot="1" x14ac:dyDescent="0.3">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6.5" thickTop="1" x14ac:dyDescent="0.25">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5.75" x14ac:dyDescent="0.25">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5.75" x14ac:dyDescent="0.25">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5.75" x14ac:dyDescent="0.25">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5.75" x14ac:dyDescent="0.25">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6.5" thickBot="1" x14ac:dyDescent="0.3">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6.5" thickTop="1" x14ac:dyDescent="0.25">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5.75" x14ac:dyDescent="0.25">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5.75" x14ac:dyDescent="0.25">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5.75" x14ac:dyDescent="0.25">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5.75" x14ac:dyDescent="0.25">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6.5" thickBot="1" x14ac:dyDescent="0.3">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6.5" thickTop="1" x14ac:dyDescent="0.25">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5.75" x14ac:dyDescent="0.25">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5.75" x14ac:dyDescent="0.25">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5.75" x14ac:dyDescent="0.25">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5.75" x14ac:dyDescent="0.25">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6.5" thickBot="1" x14ac:dyDescent="0.3">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6.5" thickTop="1" x14ac:dyDescent="0.25">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5.75" x14ac:dyDescent="0.25">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5.75" x14ac:dyDescent="0.25">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5.75" x14ac:dyDescent="0.25">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5.75" x14ac:dyDescent="0.25">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6.5" thickBot="1" x14ac:dyDescent="0.3">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6.5" thickTop="1" x14ac:dyDescent="0.25">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5.75" x14ac:dyDescent="0.25">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5.75" x14ac:dyDescent="0.25">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5.75" x14ac:dyDescent="0.25">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5.75" x14ac:dyDescent="0.25">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6.5" thickBot="1" x14ac:dyDescent="0.3">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6.5" thickTop="1" x14ac:dyDescent="0.25">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5.75" x14ac:dyDescent="0.25">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5.75" x14ac:dyDescent="0.25">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5.75" x14ac:dyDescent="0.25">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5.75" x14ac:dyDescent="0.25">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6.5" thickBot="1" x14ac:dyDescent="0.3">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6.5" thickTop="1" x14ac:dyDescent="0.25">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5.75" x14ac:dyDescent="0.25">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5.75" x14ac:dyDescent="0.25">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6.5" thickBot="1" x14ac:dyDescent="0.3">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6.5" thickTop="1" x14ac:dyDescent="0.25">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3.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3.25" x14ac:dyDescent="0.35">
      <c r="A122" s="71" t="s">
        <v>235</v>
      </c>
      <c r="K122" s="71" t="s">
        <v>236</v>
      </c>
      <c r="L122" s="117"/>
      <c r="M122" s="91"/>
      <c r="U122" s="71" t="s">
        <v>155</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47.25" x14ac:dyDescent="0.25">
      <c r="A125" s="148" t="s">
        <v>25</v>
      </c>
      <c r="B125" s="149" t="s">
        <v>26</v>
      </c>
      <c r="C125" s="958" t="s">
        <v>269</v>
      </c>
      <c r="D125" s="149" t="s">
        <v>27</v>
      </c>
      <c r="E125" s="958" t="s">
        <v>270</v>
      </c>
      <c r="F125" s="149" t="s">
        <v>276</v>
      </c>
      <c r="G125" s="149" t="s">
        <v>277</v>
      </c>
      <c r="H125" s="149" t="s">
        <v>278</v>
      </c>
      <c r="I125" s="149" t="s">
        <v>279</v>
      </c>
      <c r="J125" s="150" t="s">
        <v>280</v>
      </c>
      <c r="K125" s="148" t="s">
        <v>25</v>
      </c>
      <c r="L125" s="149" t="s">
        <v>26</v>
      </c>
      <c r="M125" s="958" t="s">
        <v>269</v>
      </c>
      <c r="N125" s="149" t="s">
        <v>27</v>
      </c>
      <c r="O125" s="958" t="s">
        <v>270</v>
      </c>
      <c r="P125" s="149" t="s">
        <v>271</v>
      </c>
      <c r="Q125" s="149" t="s">
        <v>272</v>
      </c>
      <c r="R125" s="149" t="s">
        <v>273</v>
      </c>
      <c r="S125" s="149" t="s">
        <v>274</v>
      </c>
      <c r="T125" s="150" t="s">
        <v>275</v>
      </c>
      <c r="U125" s="148" t="s">
        <v>25</v>
      </c>
      <c r="V125" s="149" t="s">
        <v>26</v>
      </c>
      <c r="W125" s="958" t="s">
        <v>269</v>
      </c>
      <c r="X125" s="149" t="s">
        <v>27</v>
      </c>
      <c r="Y125" s="958" t="s">
        <v>270</v>
      </c>
      <c r="Z125" s="149" t="s">
        <v>156</v>
      </c>
      <c r="AA125" s="149" t="s">
        <v>157</v>
      </c>
      <c r="AB125" s="149" t="s">
        <v>158</v>
      </c>
      <c r="AC125" s="149" t="s">
        <v>159</v>
      </c>
      <c r="AD125" s="150" t="s">
        <v>160</v>
      </c>
    </row>
    <row r="126" spans="1:30" s="155" customFormat="1" ht="18.75" x14ac:dyDescent="0.3">
      <c r="A126" s="151" t="s">
        <v>172</v>
      </c>
      <c r="B126" s="152">
        <f>IF(SUM(B7:B10)=0,1000*($A11+$A7)/2,1000*SUM(C7:C10)/SUM(B7:B10))</f>
        <v>12910.741902308606</v>
      </c>
      <c r="C126" s="955">
        <f t="shared" ref="C126:C136" si="21">B126/OPDAYS_Cls1</f>
        <v>51.642967609234425</v>
      </c>
      <c r="D126" s="152">
        <f>IF(SUM(D7:D10)=0,1000*($A11+$A7)/2,1000*SUM(E7:E10)/SUM(D7:D10))</f>
        <v>11981.137158378011</v>
      </c>
      <c r="E126" s="955">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172</v>
      </c>
      <c r="L126" s="152">
        <f>IF(SUM(L7:L10)=0,1000*($A11+$A7)/2,1000*SUM(M7:M10)/SUM(L7:L10))</f>
        <v>12333.113317998816</v>
      </c>
      <c r="M126" s="955">
        <f t="shared" ref="M126:M136" si="23">L126/OPDAYS_Cls2</f>
        <v>49.332453271995263</v>
      </c>
      <c r="N126" s="152">
        <f>IF(SUM(N7:N10)=0,1000*($A11+$A7)/2,1000*SUM(O7:O10)/SUM(N7:N10))</f>
        <v>13578.656537381032</v>
      </c>
      <c r="O126" s="955">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172</v>
      </c>
      <c r="V126" s="152">
        <f>IF(SUM(V7:V10)=0,1000*($A11+$A7)/2,1000*SUM(W7:W10)/SUM(V7:V10))</f>
        <v>12300.701290506642</v>
      </c>
      <c r="W126" s="955">
        <f t="shared" ref="W126:W136" si="25">V126/OPDAYS_Cls3</f>
        <v>49.202805162026571</v>
      </c>
      <c r="X126" s="152">
        <f>IF(SUM(X7:X10)=0,1000*($A11+$A7)/2,1000*SUM(Y7:Y10)/SUM(X7:X10))</f>
        <v>11455.131977377026</v>
      </c>
      <c r="Y126" s="955">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8.75" x14ac:dyDescent="0.3">
      <c r="A127" s="156" t="s">
        <v>173</v>
      </c>
      <c r="B127" s="157">
        <f>IF(SUM(B11:B14)=0,1000*($A11+$A15)/2,1000*SUM(C11:C14)/SUM(B11:B14))</f>
        <v>27744.333544620586</v>
      </c>
      <c r="C127" s="956">
        <f t="shared" si="21"/>
        <v>110.97733417848234</v>
      </c>
      <c r="D127" s="157">
        <f>IF(SUM(D11:D14)=0,1000*($A11+$A15)/2,1000*SUM(E11:E14)/SUM(D11:D14))</f>
        <v>28140.973034656869</v>
      </c>
      <c r="E127" s="956">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173</v>
      </c>
      <c r="L127" s="157">
        <f>IF(SUM(L11:L14)=0,1000*($A11+$A15)/2,1000*SUM(M11:M14)/SUM(L11:L14))</f>
        <v>30028.602619475849</v>
      </c>
      <c r="M127" s="956">
        <f t="shared" si="23"/>
        <v>120.11441047790339</v>
      </c>
      <c r="N127" s="157">
        <f>IF(SUM(N11:N14)=0,1000*($A11+$A15)/2,1000*SUM(O11:O14)/SUM(N11:N14))</f>
        <v>31655.779111861659</v>
      </c>
      <c r="O127" s="956">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173</v>
      </c>
      <c r="V127" s="157">
        <f>IF(SUM(V11:V14)=0,1000*($A11+$A15)/2,1000*SUM(W11:W14)/SUM(V11:V14))</f>
        <v>28999.059232210555</v>
      </c>
      <c r="W127" s="956">
        <f t="shared" si="25"/>
        <v>115.99623692884222</v>
      </c>
      <c r="X127" s="157">
        <f>IF(SUM(X11:X14)=0,1000*($A11+$A15)/2,1000*SUM(Y11:Y14)/SUM(X11:X14))</f>
        <v>28726.510858795609</v>
      </c>
      <c r="Y127" s="956">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8.75" x14ac:dyDescent="0.3">
      <c r="A128" s="156" t="s">
        <v>174</v>
      </c>
      <c r="B128" s="157">
        <f>IF(SUM(B15:B18)=0,1000*($A15+$A19)/2,1000*SUM(C15:C18)/SUM(B15:B18))</f>
        <v>51100.561458878678</v>
      </c>
      <c r="C128" s="956">
        <f t="shared" si="21"/>
        <v>204.40224583551472</v>
      </c>
      <c r="D128" s="157">
        <f>IF(SUM(D15:D18)=0,1000*($A15+$A19)/2,1000*SUM(E15:E18)/SUM(D15:D18))</f>
        <v>53668.200550595066</v>
      </c>
      <c r="E128" s="956">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174</v>
      </c>
      <c r="L128" s="157">
        <f>IF(SUM(L15:L18)=0,1000*($A15+$A19)/2,1000*SUM(M15:M18)/SUM(L15:L18))</f>
        <v>50247.894924517714</v>
      </c>
      <c r="M128" s="956">
        <f t="shared" si="23"/>
        <v>200.99157969807086</v>
      </c>
      <c r="N128" s="157">
        <f>IF(SUM(N15:N18)=0,1000*($A15+$A19)/2,1000*SUM(O15:O18)/SUM(N15:N18))</f>
        <v>51742.06587894004</v>
      </c>
      <c r="O128" s="956">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174</v>
      </c>
      <c r="V128" s="157">
        <f>IF(SUM(V15:V18)=0,1000*($A15+$A19)/2,1000*SUM(W15:W18)/SUM(V15:V18))</f>
        <v>47735.351895067091</v>
      </c>
      <c r="W128" s="956">
        <f t="shared" si="25"/>
        <v>190.94140758026836</v>
      </c>
      <c r="X128" s="157">
        <f>IF(SUM(X15:X18)=0,1000*($A15+$A19)/2,1000*SUM(Y15:Y18)/SUM(X15:X18))</f>
        <v>49073.514839852294</v>
      </c>
      <c r="Y128" s="956">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8.75" x14ac:dyDescent="0.3">
      <c r="A129" s="156" t="s">
        <v>175</v>
      </c>
      <c r="B129" s="157">
        <f>IF(SUM(B19:B22)=0,1000*($A19+$A23)/2,1000*SUM(C19:C22)/SUM(B19:B22))</f>
        <v>72561.526432118029</v>
      </c>
      <c r="C129" s="956">
        <f t="shared" si="21"/>
        <v>290.24610572847212</v>
      </c>
      <c r="D129" s="157">
        <f>IF(SUM(D19:D22)=0,1000*($A19+$A23)/2,1000*SUM(E19:E22)/SUM(D19:D22))</f>
        <v>72075.466860657005</v>
      </c>
      <c r="E129" s="956">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175</v>
      </c>
      <c r="L129" s="157">
        <f>IF(SUM(L19:L22)=0,1000*($A19+$A23)/2,1000*SUM(M19:M22)/SUM(L19:L22))</f>
        <v>70246.053560314816</v>
      </c>
      <c r="M129" s="956">
        <f t="shared" si="23"/>
        <v>280.98421424125928</v>
      </c>
      <c r="N129" s="157">
        <f>IF(SUM(N19:N22)=0,1000*($A19+$A23)/2,1000*SUM(O19:O22)/SUM(N19:N22))</f>
        <v>71616.500328747949</v>
      </c>
      <c r="O129" s="956">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175</v>
      </c>
      <c r="V129" s="157">
        <f>IF(SUM(V19:V22)=0,1000*($A19+$A23)/2,1000*SUM(W19:W22)/SUM(V19:V22))</f>
        <v>70682.061428958856</v>
      </c>
      <c r="W129" s="956">
        <f t="shared" si="25"/>
        <v>282.72824571583544</v>
      </c>
      <c r="X129" s="157">
        <f>IF(SUM(X19:X22)=0,1000*($A19+$A23)/2,1000*SUM(Y19:Y22)/SUM(X19:X22))</f>
        <v>71616.08895539795</v>
      </c>
      <c r="Y129" s="956">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8.75" x14ac:dyDescent="0.3">
      <c r="A130" s="156" t="s">
        <v>176</v>
      </c>
      <c r="B130" s="157">
        <f>IF(SUM(B23:B26)=0,1000*($A23+$A27)/2,1000*SUM(C23:C26)/SUM(B23:B26))</f>
        <v>91189.376048162099</v>
      </c>
      <c r="C130" s="956">
        <f t="shared" si="21"/>
        <v>364.75750419264841</v>
      </c>
      <c r="D130" s="157">
        <f>IF(SUM(D23:D26)=0,1000*($A23+$A27)/2,1000*SUM(E23:E26)/SUM(D23:D26))</f>
        <v>92150.223026373118</v>
      </c>
      <c r="E130" s="956">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176</v>
      </c>
      <c r="L130" s="157">
        <f>IF(SUM(L23:L26)=0,1000*($A23+$A27)/2,1000*SUM(M23:M26)/SUM(L23:L26))</f>
        <v>89551.611312238136</v>
      </c>
      <c r="M130" s="956">
        <f t="shared" si="23"/>
        <v>358.20644524895255</v>
      </c>
      <c r="N130" s="157">
        <f>IF(SUM(N23:N26)=0,1000*($A23+$A27)/2,1000*SUM(O23:O26)/SUM(N23:N26))</f>
        <v>89740.972704267871</v>
      </c>
      <c r="O130" s="956">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176</v>
      </c>
      <c r="V130" s="157">
        <f>IF(SUM(V23:V26)=0,1000*($A23+$A27)/2,1000*SUM(W23:W26)/SUM(V23:V26))</f>
        <v>87276.442894282722</v>
      </c>
      <c r="W130" s="956">
        <f t="shared" si="25"/>
        <v>349.10577157713089</v>
      </c>
      <c r="X130" s="157">
        <f>IF(SUM(X23:X26)=0,1000*($A23+$A27)/2,1000*SUM(Y23:Y26)/SUM(X23:X26))</f>
        <v>88060.84854827018</v>
      </c>
      <c r="Y130" s="956">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8.75" x14ac:dyDescent="0.3">
      <c r="A131" s="156" t="s">
        <v>177</v>
      </c>
      <c r="B131" s="157">
        <f>IF(SUM(B27:B30)=0,1000*($A27+$A31)/2,1000*SUM(C27:C30)/SUM(B27:B30))</f>
        <v>110907.81722277345</v>
      </c>
      <c r="C131" s="956">
        <f t="shared" si="21"/>
        <v>443.63126889109378</v>
      </c>
      <c r="D131" s="157">
        <f>IF(SUM(D27:D30)=0,1000*($A27+$A31)/2,1000*SUM(E27:E30)/SUM(D27:D30))</f>
        <v>111828.89697483131</v>
      </c>
      <c r="E131" s="956">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177</v>
      </c>
      <c r="L131" s="157">
        <f>IF(SUM(L27:L30)=0,1000*($A27+$A31)/2,1000*SUM(M27:M30)/SUM(L27:L30))</f>
        <v>108207.01367942672</v>
      </c>
      <c r="M131" s="956">
        <f t="shared" si="23"/>
        <v>432.82805471770689</v>
      </c>
      <c r="N131" s="157">
        <f>IF(SUM(N27:N30)=0,1000*($A27+$A31)/2,1000*SUM(O27:O30)/SUM(N27:N30))</f>
        <v>112638.86454910832</v>
      </c>
      <c r="O131" s="956">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177</v>
      </c>
      <c r="V131" s="157">
        <f>IF(SUM(V27:V30)=0,1000*($A27+$A31)/2,1000*SUM(W27:W30)/SUM(V27:V30))</f>
        <v>102231</v>
      </c>
      <c r="W131" s="956">
        <f t="shared" si="25"/>
        <v>408.92399999999998</v>
      </c>
      <c r="X131" s="157">
        <f>IF(SUM(X27:X30)=0,1000*($A27+$A31)/2,1000*SUM(Y27:Y30)/SUM(X27:X30))</f>
        <v>106769.51106158529</v>
      </c>
      <c r="Y131" s="956">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8.75" x14ac:dyDescent="0.3">
      <c r="A132" s="156" t="s">
        <v>178</v>
      </c>
      <c r="B132" s="157">
        <f>IF(SUM(B31:B34)=0,1000*($A31+$A35)/2,1000*SUM(C31:C34)/SUM(B31:B34))</f>
        <v>126695.33557343495</v>
      </c>
      <c r="C132" s="956">
        <f t="shared" si="21"/>
        <v>506.78134229373978</v>
      </c>
      <c r="D132" s="157">
        <f>IF(SUM(D31:D34)=0,1000*($A31+$A35)/2,1000*SUM(E31:E34)/SUM(D31:D34))</f>
        <v>127822.07987524466</v>
      </c>
      <c r="E132" s="956">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178</v>
      </c>
      <c r="L132" s="157">
        <f>IF(SUM(L31:L34)=0,1000*($A31+$A35)/2,1000*SUM(M31:M34)/SUM(L31:L34))</f>
        <v>129276.53779524955</v>
      </c>
      <c r="M132" s="956">
        <f t="shared" si="23"/>
        <v>517.10615118099815</v>
      </c>
      <c r="N132" s="157">
        <f>IF(SUM(N31:N34)=0,1000*($A31+$A35)/2,1000*SUM(O31:O34)/SUM(N31:N34))</f>
        <v>127982.74620603543</v>
      </c>
      <c r="O132" s="956">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178</v>
      </c>
      <c r="V132" s="157">
        <f>IF(SUM(V31:V34)=0,1000*($A31+$A35)/2,1000*SUM(W31:W34)/SUM(V31:V34))</f>
        <v>135079.81709212752</v>
      </c>
      <c r="W132" s="956">
        <f t="shared" si="25"/>
        <v>540.31926836851005</v>
      </c>
      <c r="X132" s="157">
        <f>IF(SUM(X31:X34)=0,1000*($A31+$A35)/2,1000*SUM(Y31:Y34)/SUM(X31:X34))</f>
        <v>129899.70060269146</v>
      </c>
      <c r="Y132" s="956">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8.75" x14ac:dyDescent="0.3">
      <c r="A133" s="156" t="s">
        <v>179</v>
      </c>
      <c r="B133" s="157">
        <f>IF(SUM(B35:B38)=0,1000*($A35+$A39)/2,1000*SUM(C35:C38)/SUM(B35:B38))</f>
        <v>148928.20853402285</v>
      </c>
      <c r="C133" s="956">
        <f t="shared" si="21"/>
        <v>595.71283413609137</v>
      </c>
      <c r="D133" s="157">
        <f>IF(SUM(D35:D38)=0,1000*($A35+$A39)/2,1000*SUM(E35:E38)/SUM(D35:D38))</f>
        <v>148934.3166459057</v>
      </c>
      <c r="E133" s="956">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179</v>
      </c>
      <c r="L133" s="157">
        <f>IF(SUM(L35:L38)=0,1000*($A35+$A39)/2,1000*SUM(M35:M38)/SUM(L35:L38))</f>
        <v>149452.17659597393</v>
      </c>
      <c r="M133" s="956">
        <f t="shared" si="23"/>
        <v>597.8087063838957</v>
      </c>
      <c r="N133" s="157">
        <f>IF(SUM(N35:N38)=0,1000*($A35+$A39)/2,1000*SUM(O35:O38)/SUM(N35:N38))</f>
        <v>144807.33408023277</v>
      </c>
      <c r="O133" s="956">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179</v>
      </c>
      <c r="V133" s="157">
        <f>IF(SUM(V35:V38)=0,1000*($A35+$A39)/2,1000*SUM(W35:W38)/SUM(V35:V38))</f>
        <v>150000</v>
      </c>
      <c r="W133" s="956">
        <f t="shared" si="25"/>
        <v>600</v>
      </c>
      <c r="X133" s="157">
        <f>IF(SUM(X35:X38)=0,1000*($A35+$A39)/2,1000*SUM(Y35:Y38)/SUM(X35:X38))</f>
        <v>152108.66705176356</v>
      </c>
      <c r="Y133" s="956">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8.75" x14ac:dyDescent="0.3">
      <c r="A134" s="156" t="s">
        <v>180</v>
      </c>
      <c r="B134" s="157">
        <f>IF(SUM(B39:B42)=0,1000*($A39+$A43)/2,1000*SUM(C39:C42)/SUM(B39:B42))</f>
        <v>170557.72479022425</v>
      </c>
      <c r="C134" s="956">
        <f t="shared" si="21"/>
        <v>682.23089916089702</v>
      </c>
      <c r="D134" s="157">
        <f>IF(SUM(D39:D42)=0,1000*($A39+$A43)/2,1000*SUM(E39:E42)/SUM(D39:D42))</f>
        <v>168027.74798810174</v>
      </c>
      <c r="E134" s="956">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180</v>
      </c>
      <c r="L134" s="157">
        <f>IF(SUM(L39:L42)=0,1000*($A39+$A43)/2,1000*SUM(M39:M42)/SUM(L39:L42))</f>
        <v>169233.54852390054</v>
      </c>
      <c r="M134" s="956">
        <f t="shared" si="23"/>
        <v>676.93419409560215</v>
      </c>
      <c r="N134" s="157">
        <f>IF(SUM(N39:N42)=0,1000*($A39+$A43)/2,1000*SUM(O39:O42)/SUM(N39:N42))</f>
        <v>173814.16392403719</v>
      </c>
      <c r="O134" s="956">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180</v>
      </c>
      <c r="V134" s="157">
        <f>IF(SUM(V39:V42)=0,1000*($A39+$A43)/2,1000*SUM(W39:W42)/SUM(V39:V42))</f>
        <v>170000</v>
      </c>
      <c r="W134" s="956">
        <f t="shared" si="25"/>
        <v>680</v>
      </c>
      <c r="X134" s="157">
        <f>IF(SUM(X39:X42)=0,1000*($A39+$A43)/2,1000*SUM(Y39:Y42)/SUM(X39:X42))</f>
        <v>175800</v>
      </c>
      <c r="Y134" s="956">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8.75" x14ac:dyDescent="0.3">
      <c r="A135" s="156" t="s">
        <v>181</v>
      </c>
      <c r="B135" s="157">
        <f>IF(SUM(B43:B46)=0,1000*($A43+$A47)/2,1000*SUM(C43:C46)/SUM(B43:B46))</f>
        <v>191316.0970688317</v>
      </c>
      <c r="C135" s="956">
        <f t="shared" si="21"/>
        <v>765.26438827532684</v>
      </c>
      <c r="D135" s="157">
        <f>IF(SUM(D43:D46)=0,1000*($A43+$A47)/2,1000*SUM(E43:E46)/SUM(D43:D46))</f>
        <v>189269.82544746815</v>
      </c>
      <c r="E135" s="956">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181</v>
      </c>
      <c r="L135" s="157">
        <f>IF(SUM(L43:L46)=0,1000*($A43+$A47)/2,1000*SUM(M43:M46)/SUM(L43:L46))</f>
        <v>186705.61306581408</v>
      </c>
      <c r="M135" s="956">
        <f t="shared" si="23"/>
        <v>746.82245226325631</v>
      </c>
      <c r="N135" s="157">
        <f>IF(SUM(N43:N46)=0,1000*($A43+$A47)/2,1000*SUM(O43:O46)/SUM(N43:N46))</f>
        <v>189951.70582690198</v>
      </c>
      <c r="O135" s="956">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181</v>
      </c>
      <c r="V135" s="157">
        <f>IF(SUM(V43:V46)=0,1000*($A43+$A47)/2,1000*SUM(W43:W46)/SUM(V43:V46))</f>
        <v>200000.00000000003</v>
      </c>
      <c r="W135" s="956">
        <f t="shared" si="25"/>
        <v>800.00000000000011</v>
      </c>
      <c r="X135" s="157">
        <f>IF(SUM(X43:X46)=0,1000*($A43+$A47)/2,1000*SUM(Y43:Y46)/SUM(X43:X46))</f>
        <v>190000</v>
      </c>
      <c r="Y135" s="956">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19.5" thickBot="1" x14ac:dyDescent="0.35">
      <c r="A136" s="160" t="s">
        <v>182</v>
      </c>
      <c r="B136" s="161">
        <f>IF(B47=0,200000,1000*C47/B47)</f>
        <v>242569.67756827583</v>
      </c>
      <c r="C136" s="957">
        <f t="shared" si="21"/>
        <v>970.27871027310334</v>
      </c>
      <c r="D136" s="161">
        <f>IF(D47=0,200000,1000*E47/D47)</f>
        <v>224042.00197938742</v>
      </c>
      <c r="E136" s="957">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182</v>
      </c>
      <c r="L136" s="161">
        <f>IF(L47=0,200000,1000*M47/L47)</f>
        <v>223982.06595211086</v>
      </c>
      <c r="M136" s="957">
        <f t="shared" si="23"/>
        <v>895.92826380844349</v>
      </c>
      <c r="N136" s="161">
        <f>IF(N47=0,200000,1000*O47/N47)</f>
        <v>220702.9179341534</v>
      </c>
      <c r="O136" s="957">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182</v>
      </c>
      <c r="V136" s="161">
        <f>IF(V47=0,200000,1000*W47/V47)</f>
        <v>200000</v>
      </c>
      <c r="W136" s="957">
        <f t="shared" si="25"/>
        <v>800</v>
      </c>
      <c r="X136" s="161">
        <f>IF(X47=0,200000,1000*Y47/X47)</f>
        <v>225000</v>
      </c>
      <c r="Y136" s="957">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6.5" thickTop="1" x14ac:dyDescent="0.25">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3.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45">
      <c r="J139" s="170" t="s">
        <v>40</v>
      </c>
      <c r="K139" s="1614"/>
      <c r="L139" s="1615"/>
      <c r="M139" s="1618" t="s">
        <v>41</v>
      </c>
      <c r="N139" s="1619"/>
      <c r="O139" s="1619"/>
      <c r="P139" s="1619"/>
      <c r="Q139" s="1619"/>
      <c r="R139" s="1619"/>
      <c r="S139" s="1619"/>
      <c r="T139" s="1620"/>
    </row>
    <row r="140" spans="1:30" s="171" customFormat="1" ht="54" customHeight="1" thickBot="1" x14ac:dyDescent="0.45">
      <c r="B140" s="1621" t="s">
        <v>42</v>
      </c>
      <c r="C140" s="1622"/>
      <c r="D140" s="173" t="s">
        <v>10</v>
      </c>
      <c r="E140" s="174" t="s">
        <v>43</v>
      </c>
      <c r="F140" s="174" t="s">
        <v>44</v>
      </c>
      <c r="G140" s="174" t="s">
        <v>45</v>
      </c>
      <c r="H140" s="175" t="s">
        <v>46</v>
      </c>
      <c r="I140" s="176"/>
      <c r="J140" s="51"/>
      <c r="K140" s="1616"/>
      <c r="L140" s="1617"/>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5.75" x14ac:dyDescent="0.25">
      <c r="B141" s="180"/>
      <c r="C141" s="181" t="s">
        <v>161</v>
      </c>
      <c r="D141" s="182">
        <f>+B49</f>
        <v>32726.047499999982</v>
      </c>
      <c r="E141" s="183">
        <f>+D141/$D$153</f>
        <v>0.11304551283324372</v>
      </c>
      <c r="F141" s="182">
        <f>+C49</f>
        <v>3630255.7699999958</v>
      </c>
      <c r="G141" s="184">
        <f>IF(F141=0,0,+F141/D141)</f>
        <v>110.92863475187457</v>
      </c>
      <c r="H141" s="185"/>
      <c r="I141" s="186"/>
      <c r="J141" s="48"/>
      <c r="K141" s="1623"/>
      <c r="L141" s="1624"/>
      <c r="M141" s="1625">
        <v>2007</v>
      </c>
      <c r="N141" s="1626"/>
      <c r="O141" s="1625">
        <v>2010</v>
      </c>
      <c r="P141" s="1626"/>
      <c r="Q141" s="1625">
        <v>2015</v>
      </c>
      <c r="R141" s="1626"/>
      <c r="S141" s="1625">
        <v>2020</v>
      </c>
      <c r="T141" s="1626"/>
    </row>
    <row r="142" spans="1:30" s="115" customFormat="1" ht="16.5" thickBot="1" x14ac:dyDescent="0.3">
      <c r="B142" s="410"/>
      <c r="C142" s="187" t="s">
        <v>162</v>
      </c>
      <c r="D142" s="188">
        <f>+D49</f>
        <v>105147.18099999987</v>
      </c>
      <c r="E142" s="189">
        <f>+D142/$D$153</f>
        <v>0.36320967263507431</v>
      </c>
      <c r="F142" s="188">
        <f>+E49</f>
        <v>12127329.527999995</v>
      </c>
      <c r="G142" s="190">
        <f>IF(F142=0,0,+F142/D142)</f>
        <v>115.33670624988045</v>
      </c>
      <c r="H142" s="191"/>
      <c r="I142" s="186"/>
      <c r="J142" s="48"/>
      <c r="K142" s="1629" t="s">
        <v>163</v>
      </c>
      <c r="L142" s="1630"/>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7.25" thickTop="1" thickBot="1" x14ac:dyDescent="0.3">
      <c r="B143" s="1627" t="s">
        <v>163</v>
      </c>
      <c r="C143" s="1628"/>
      <c r="D143" s="192">
        <f>+D142+D141</f>
        <v>137873.22849999985</v>
      </c>
      <c r="E143" s="193">
        <f>+D143/$D$153</f>
        <v>0.47625518546831802</v>
      </c>
      <c r="F143" s="192">
        <f>+F141+F142</f>
        <v>15757585.297999991</v>
      </c>
      <c r="G143" s="194">
        <f>IF(F143=0,0,+F143/D143)</f>
        <v>114.29039175651137</v>
      </c>
      <c r="H143" s="195">
        <f>F143/F153</f>
        <v>0.66842924773992651</v>
      </c>
      <c r="I143" s="196"/>
      <c r="J143" s="48"/>
      <c r="K143" s="1629" t="s">
        <v>166</v>
      </c>
      <c r="L143" s="1630"/>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6.5" thickBot="1" x14ac:dyDescent="0.3">
      <c r="B144" s="197"/>
      <c r="C144" s="198"/>
      <c r="D144" s="199"/>
      <c r="E144" s="200"/>
      <c r="F144" s="199"/>
      <c r="G144" s="201"/>
      <c r="H144" s="202"/>
      <c r="I144" s="196"/>
      <c r="J144" s="48"/>
      <c r="K144" s="1631" t="s">
        <v>169</v>
      </c>
      <c r="L144" s="1632"/>
      <c r="M144" s="203">
        <v>0</v>
      </c>
      <c r="N144" s="414">
        <v>0</v>
      </c>
      <c r="O144" s="203">
        <v>0</v>
      </c>
      <c r="P144" s="414">
        <v>0</v>
      </c>
      <c r="Q144" s="203">
        <v>0</v>
      </c>
      <c r="R144" s="414">
        <v>0</v>
      </c>
      <c r="S144" s="203">
        <v>0</v>
      </c>
      <c r="T144" s="414">
        <v>0</v>
      </c>
    </row>
    <row r="145" spans="2:30" s="115" customFormat="1" ht="16.5" thickBot="1" x14ac:dyDescent="0.3">
      <c r="B145" s="204"/>
      <c r="C145" s="411" t="s">
        <v>164</v>
      </c>
      <c r="D145" s="192">
        <f>+L49</f>
        <v>43665.595499999908</v>
      </c>
      <c r="E145" s="193">
        <f>+D145/$D$153</f>
        <v>0.15083396907208155</v>
      </c>
      <c r="F145" s="192">
        <f>+M49</f>
        <v>3504237.7709999941</v>
      </c>
      <c r="G145" s="194">
        <f>IF(F145=0,0,+F145/D145)</f>
        <v>80.251688563367964</v>
      </c>
      <c r="H145" s="205"/>
      <c r="I145" s="186"/>
      <c r="J145" s="48"/>
      <c r="K145" s="1633" t="s">
        <v>49</v>
      </c>
      <c r="L145" s="1634"/>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6.5" thickBot="1" x14ac:dyDescent="0.3">
      <c r="B146" s="410"/>
      <c r="C146" s="187" t="s">
        <v>165</v>
      </c>
      <c r="D146" s="188">
        <f>+N49</f>
        <v>30405.941399999985</v>
      </c>
      <c r="E146" s="189">
        <f>+D146/$D$153</f>
        <v>0.10503117551059463</v>
      </c>
      <c r="F146" s="188">
        <f>+O49</f>
        <v>2198144.7499999986</v>
      </c>
      <c r="G146" s="190">
        <f>IF(F146=0,0,+F146/D146)</f>
        <v>72.293264039507747</v>
      </c>
      <c r="H146" s="191"/>
      <c r="I146" s="186"/>
      <c r="J146" s="48"/>
      <c r="K146" s="1636"/>
      <c r="L146" s="1637"/>
      <c r="M146" s="1625">
        <v>2025</v>
      </c>
      <c r="N146" s="1635"/>
      <c r="O146" s="1625">
        <v>2030</v>
      </c>
      <c r="P146" s="1626"/>
      <c r="Q146" s="1625">
        <v>2035</v>
      </c>
      <c r="R146" s="1626"/>
      <c r="S146" s="1625">
        <v>2040</v>
      </c>
      <c r="T146" s="1626"/>
    </row>
    <row r="147" spans="2:30" s="115" customFormat="1" ht="17.25" thickTop="1" thickBot="1" x14ac:dyDescent="0.3">
      <c r="B147" s="1627" t="s">
        <v>166</v>
      </c>
      <c r="C147" s="1628"/>
      <c r="D147" s="192">
        <f>+D146+D145</f>
        <v>74071.53689999989</v>
      </c>
      <c r="E147" s="193">
        <f>+D147/$D$153</f>
        <v>0.25586514458267617</v>
      </c>
      <c r="F147" s="192">
        <f>+F146+F145</f>
        <v>5702382.5209999923</v>
      </c>
      <c r="G147" s="194">
        <f>IF(F147=0,0,+F147/D147)</f>
        <v>76.984800905352898</v>
      </c>
      <c r="H147" s="195">
        <f>F147/F153</f>
        <v>0.24189234497249509</v>
      </c>
      <c r="I147" s="196"/>
      <c r="J147" s="48"/>
      <c r="K147" s="1629" t="s">
        <v>163</v>
      </c>
      <c r="L147" s="1630"/>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6.5" thickBot="1" x14ac:dyDescent="0.3">
      <c r="B148" s="197"/>
      <c r="C148" s="198"/>
      <c r="D148" s="199"/>
      <c r="E148" s="200"/>
      <c r="F148" s="199"/>
      <c r="G148" s="201"/>
      <c r="H148" s="202"/>
      <c r="I148" s="196"/>
      <c r="J148" s="48"/>
      <c r="K148" s="1629" t="s">
        <v>166</v>
      </c>
      <c r="L148" s="1630"/>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6.5" thickBot="1" x14ac:dyDescent="0.3">
      <c r="B149" s="204"/>
      <c r="C149" s="411" t="s">
        <v>167</v>
      </c>
      <c r="D149" s="192">
        <f>+V49</f>
        <v>29850.964499999998</v>
      </c>
      <c r="E149" s="193">
        <f>+D149/$D$153</f>
        <v>0.10311412004365801</v>
      </c>
      <c r="F149" s="192">
        <f>+W49</f>
        <v>844213.30735720019</v>
      </c>
      <c r="G149" s="194">
        <f>IF(F149=0,0,+F149/D149)</f>
        <v>28.280939041591111</v>
      </c>
      <c r="H149" s="205"/>
      <c r="I149" s="186"/>
      <c r="J149" s="48"/>
      <c r="K149" s="1631" t="s">
        <v>169</v>
      </c>
      <c r="L149" s="1632"/>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7.25" thickTop="1" thickBot="1" x14ac:dyDescent="0.3">
      <c r="B150" s="410"/>
      <c r="C150" s="187" t="s">
        <v>168</v>
      </c>
      <c r="D150" s="188">
        <f>+X49</f>
        <v>47698.710699999989</v>
      </c>
      <c r="E150" s="189">
        <f>+D150/$D$153</f>
        <v>0.16476554990534775</v>
      </c>
      <c r="F150" s="208">
        <f>+Y49</f>
        <v>1269870.0559916999</v>
      </c>
      <c r="G150" s="190">
        <f>IF(F150=0,0,+F150/D150)</f>
        <v>26.622733347626944</v>
      </c>
      <c r="H150" s="191"/>
      <c r="I150" s="186"/>
      <c r="J150" s="48"/>
      <c r="K150" s="1633" t="s">
        <v>49</v>
      </c>
      <c r="L150" s="1634"/>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7.25" thickTop="1" thickBot="1" x14ac:dyDescent="0.3">
      <c r="B151" s="1627" t="s">
        <v>169</v>
      </c>
      <c r="C151" s="1628"/>
      <c r="D151" s="192">
        <f>+D150+D149</f>
        <v>77549.675199999983</v>
      </c>
      <c r="E151" s="193">
        <f>+D151/$D$153</f>
        <v>0.26787966994900575</v>
      </c>
      <c r="F151" s="192">
        <f>+F149+F150</f>
        <v>2114083.3633489003</v>
      </c>
      <c r="G151" s="194">
        <f>IF(F151=0,0,+F151/D151)</f>
        <v>27.261021505205488</v>
      </c>
      <c r="H151" s="195">
        <f>F151/F153</f>
        <v>8.967840728757831E-2</v>
      </c>
      <c r="I151" s="196"/>
      <c r="J151" s="48"/>
      <c r="K151" s="1636"/>
      <c r="L151" s="1637"/>
      <c r="M151" s="1625">
        <v>2045</v>
      </c>
      <c r="N151" s="1635"/>
      <c r="O151" s="1625">
        <v>2050</v>
      </c>
      <c r="P151" s="1635"/>
      <c r="Q151" s="48"/>
      <c r="R151" s="48"/>
      <c r="S151" s="48"/>
      <c r="T151" s="48"/>
      <c r="U151" s="48"/>
      <c r="V151" s="48"/>
      <c r="W151" s="48"/>
      <c r="X151" s="48"/>
      <c r="Y151" s="48"/>
      <c r="Z151" s="48"/>
      <c r="AA151" s="48"/>
      <c r="AB151" s="48"/>
      <c r="AC151" s="48"/>
      <c r="AD151" s="48"/>
    </row>
    <row r="152" spans="2:30" s="115" customFormat="1" ht="16.5" thickBot="1" x14ac:dyDescent="0.3">
      <c r="B152" s="197"/>
      <c r="C152" s="198"/>
      <c r="D152" s="199"/>
      <c r="E152" s="200"/>
      <c r="F152" s="199"/>
      <c r="G152" s="201"/>
      <c r="H152" s="202"/>
      <c r="I152" s="196"/>
      <c r="J152" s="48"/>
      <c r="K152" s="1629" t="s">
        <v>163</v>
      </c>
      <c r="L152" s="1630"/>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6.5" thickBot="1" x14ac:dyDescent="0.3">
      <c r="B153" s="1638" t="s">
        <v>49</v>
      </c>
      <c r="C153" s="1639"/>
      <c r="D153" s="209">
        <f>D143+D147+D151</f>
        <v>289494.44059999974</v>
      </c>
      <c r="E153" s="210">
        <f>+D153/$D$153</f>
        <v>1</v>
      </c>
      <c r="F153" s="209">
        <f>F143+F147+F151</f>
        <v>23574051.182348885</v>
      </c>
      <c r="G153" s="211">
        <f>IF(F153=0,0,+F153/D153)</f>
        <v>81.431792380847909</v>
      </c>
      <c r="H153" s="212">
        <f>SUM(H143:H152)</f>
        <v>1</v>
      </c>
      <c r="I153" s="213"/>
      <c r="J153" s="48"/>
      <c r="K153" s="1629" t="s">
        <v>166</v>
      </c>
      <c r="L153" s="1630"/>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6.5" thickBot="1" x14ac:dyDescent="0.3">
      <c r="G154" s="215"/>
      <c r="J154" s="48"/>
      <c r="K154" s="1631" t="s">
        <v>169</v>
      </c>
      <c r="L154" s="1632"/>
      <c r="M154" s="203">
        <v>0</v>
      </c>
      <c r="N154" s="414">
        <v>0</v>
      </c>
      <c r="O154" s="203"/>
      <c r="P154" s="414">
        <v>0</v>
      </c>
      <c r="Q154" s="48"/>
      <c r="R154" s="48"/>
      <c r="S154" s="48"/>
      <c r="T154" s="48"/>
      <c r="U154" s="48"/>
      <c r="V154" s="48"/>
      <c r="W154" s="48"/>
      <c r="X154" s="48"/>
      <c r="Y154" s="48"/>
      <c r="Z154" s="48"/>
      <c r="AA154" s="48"/>
      <c r="AB154" s="48"/>
      <c r="AC154" s="48"/>
      <c r="AD154" s="48"/>
    </row>
    <row r="155" spans="2:30" ht="17.25" thickTop="1" thickBot="1" x14ac:dyDescent="0.3">
      <c r="K155" s="1633" t="s">
        <v>49</v>
      </c>
      <c r="L155" s="1634"/>
      <c r="M155" s="206" t="e">
        <f>SUM(M152:M154)</f>
        <v>#REF!</v>
      </c>
      <c r="N155" s="207" t="e">
        <f>M155/M$155</f>
        <v>#REF!</v>
      </c>
      <c r="O155" s="206" t="e">
        <f>SUM(O152:O154)</f>
        <v>#REF!</v>
      </c>
      <c r="P155" s="207" t="e">
        <f>O155/O$155</f>
        <v>#REF!</v>
      </c>
    </row>
  </sheetData>
  <mergeCells count="38">
    <mergeCell ref="K154:L154"/>
    <mergeCell ref="K155:L155"/>
    <mergeCell ref="M151:N151"/>
    <mergeCell ref="O151:P151"/>
    <mergeCell ref="K152:L152"/>
    <mergeCell ref="B153:C153"/>
    <mergeCell ref="K153:L153"/>
    <mergeCell ref="K148:L148"/>
    <mergeCell ref="K149:L149"/>
    <mergeCell ref="K150:L150"/>
    <mergeCell ref="B151:C151"/>
    <mergeCell ref="K151:L151"/>
    <mergeCell ref="S146:T146"/>
    <mergeCell ref="B147:C147"/>
    <mergeCell ref="K147:L147"/>
    <mergeCell ref="K142:L142"/>
    <mergeCell ref="B143:C143"/>
    <mergeCell ref="K143:L143"/>
    <mergeCell ref="K144:L144"/>
    <mergeCell ref="K145:L145"/>
    <mergeCell ref="M146:N146"/>
    <mergeCell ref="K146:L146"/>
    <mergeCell ref="Q146:R146"/>
    <mergeCell ref="O146:P146"/>
    <mergeCell ref="K139:L140"/>
    <mergeCell ref="M139:T139"/>
    <mergeCell ref="B140:C140"/>
    <mergeCell ref="K141:L141"/>
    <mergeCell ref="M141:N141"/>
    <mergeCell ref="O141:P141"/>
    <mergeCell ref="Q141:R141"/>
    <mergeCell ref="S141:T141"/>
    <mergeCell ref="V5:Y5"/>
    <mergeCell ref="Z5:AB5"/>
    <mergeCell ref="B5:E5"/>
    <mergeCell ref="L5:O5"/>
    <mergeCell ref="F5:I5"/>
    <mergeCell ref="P5:S5"/>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defaultColWidth="9.140625" defaultRowHeight="15" x14ac:dyDescent="0.25"/>
  <cols>
    <col min="1" max="2" width="9.140625" style="13"/>
    <col min="3" max="3" width="12.42578125" style="13" bestFit="1" customWidth="1"/>
    <col min="4" max="4" width="9.28515625" style="13" bestFit="1" customWidth="1"/>
    <col min="5" max="6" width="9.140625" style="13"/>
    <col min="7" max="7" width="0" style="13" hidden="1" customWidth="1"/>
    <col min="8" max="16384" width="9.140625" style="13"/>
  </cols>
  <sheetData>
    <row r="1" spans="1:12" x14ac:dyDescent="0.25">
      <c r="A1" s="13" t="s">
        <v>55</v>
      </c>
      <c r="G1" s="14"/>
    </row>
    <row r="2" spans="1:12" ht="30" x14ac:dyDescent="0.25">
      <c r="A2" s="15" t="s">
        <v>56</v>
      </c>
      <c r="B2" s="15" t="s">
        <v>57</v>
      </c>
      <c r="C2" s="15" t="s">
        <v>58</v>
      </c>
    </row>
    <row r="3" spans="1:12" x14ac:dyDescent="0.25">
      <c r="A3" s="13">
        <v>1</v>
      </c>
      <c r="B3" s="16">
        <v>0.16400000000000001</v>
      </c>
      <c r="C3" s="17">
        <f>C4+B3</f>
        <v>1</v>
      </c>
    </row>
    <row r="4" spans="1:12" x14ac:dyDescent="0.25">
      <c r="A4" s="13">
        <v>2</v>
      </c>
      <c r="B4" s="16">
        <v>0.61699999999999999</v>
      </c>
      <c r="C4" s="17">
        <f>C5+B4</f>
        <v>0.83599999999999997</v>
      </c>
    </row>
    <row r="5" spans="1:12" x14ac:dyDescent="0.25">
      <c r="A5" s="13">
        <v>3</v>
      </c>
      <c r="B5" s="16">
        <v>0.155</v>
      </c>
      <c r="C5" s="17">
        <f>C6+B5</f>
        <v>0.219</v>
      </c>
    </row>
    <row r="6" spans="1:12" x14ac:dyDescent="0.25">
      <c r="A6" s="13">
        <v>4</v>
      </c>
      <c r="B6" s="16">
        <v>6.4000000000000001E-2</v>
      </c>
      <c r="C6" s="17">
        <f>B6</f>
        <v>6.4000000000000001E-2</v>
      </c>
    </row>
    <row r="7" spans="1:12" x14ac:dyDescent="0.25">
      <c r="B7" s="16"/>
      <c r="C7" s="17"/>
    </row>
    <row r="8" spans="1:12" x14ac:dyDescent="0.25">
      <c r="B8" s="18"/>
      <c r="D8" s="389">
        <v>12</v>
      </c>
      <c r="E8" s="13">
        <v>6</v>
      </c>
      <c r="F8" s="13">
        <v>0</v>
      </c>
      <c r="G8" s="13">
        <v>3</v>
      </c>
      <c r="H8" s="13" t="s">
        <v>59</v>
      </c>
      <c r="J8" s="19">
        <v>12</v>
      </c>
      <c r="K8" s="13">
        <v>6</v>
      </c>
      <c r="L8" s="13">
        <v>0</v>
      </c>
    </row>
    <row r="9" spans="1:12" x14ac:dyDescent="0.25">
      <c r="B9" s="18"/>
      <c r="D9" s="18">
        <v>2.5</v>
      </c>
      <c r="E9" s="20">
        <v>1.8</v>
      </c>
      <c r="F9" s="20">
        <v>1.8</v>
      </c>
      <c r="G9" s="20">
        <v>1.8</v>
      </c>
      <c r="H9" s="13" t="s">
        <v>60</v>
      </c>
      <c r="J9" s="20">
        <v>2.5</v>
      </c>
      <c r="K9" s="20">
        <v>1.8</v>
      </c>
      <c r="L9" s="20">
        <v>1.8</v>
      </c>
    </row>
    <row r="10" spans="1:12" x14ac:dyDescent="0.25">
      <c r="B10" s="18"/>
      <c r="C10" s="13" t="s">
        <v>61</v>
      </c>
      <c r="D10" s="18">
        <v>2</v>
      </c>
      <c r="E10" s="20">
        <v>2</v>
      </c>
      <c r="F10" s="20">
        <v>1.6</v>
      </c>
      <c r="G10" s="20">
        <v>1.5</v>
      </c>
      <c r="H10" s="13" t="s">
        <v>62</v>
      </c>
      <c r="J10" s="20">
        <v>2</v>
      </c>
      <c r="K10" s="20">
        <v>2</v>
      </c>
      <c r="L10" s="20">
        <v>1.6</v>
      </c>
    </row>
    <row r="11" spans="1:12" x14ac:dyDescent="0.25">
      <c r="B11" s="18" t="s">
        <v>63</v>
      </c>
      <c r="C11" s="391" t="s">
        <v>361</v>
      </c>
      <c r="D11" s="392" t="s">
        <v>110</v>
      </c>
      <c r="E11" s="393" t="s">
        <v>111</v>
      </c>
      <c r="F11" s="393" t="s">
        <v>116</v>
      </c>
      <c r="G11" s="13" t="s">
        <v>64</v>
      </c>
    </row>
    <row r="12" spans="1:12" x14ac:dyDescent="0.25">
      <c r="B12" s="18">
        <v>0</v>
      </c>
      <c r="C12" s="391"/>
      <c r="D12" s="394">
        <f t="shared" ref="D12:G31" si="0">IF($B12&lt;D$8,1,1-WEIBULL(($B12/12)-D$8/12,D$9,D$10,1))</f>
        <v>1</v>
      </c>
      <c r="E12" s="395">
        <f t="shared" si="0"/>
        <v>1</v>
      </c>
      <c r="F12" s="395">
        <f t="shared" si="0"/>
        <v>1</v>
      </c>
      <c r="G12" s="21">
        <f t="shared" si="0"/>
        <v>1</v>
      </c>
    </row>
    <row r="13" spans="1:12" x14ac:dyDescent="0.25">
      <c r="B13" s="18">
        <v>1</v>
      </c>
      <c r="C13" s="391"/>
      <c r="D13" s="394">
        <f t="shared" si="0"/>
        <v>1</v>
      </c>
      <c r="E13" s="395">
        <f t="shared" si="0"/>
        <v>1</v>
      </c>
      <c r="F13" s="395">
        <f t="shared" si="0"/>
        <v>0.99511353784223089</v>
      </c>
      <c r="G13" s="21">
        <f t="shared" si="0"/>
        <v>1</v>
      </c>
    </row>
    <row r="14" spans="1:12" x14ac:dyDescent="0.25">
      <c r="B14" s="18">
        <v>2</v>
      </c>
      <c r="C14" s="391"/>
      <c r="D14" s="394">
        <f t="shared" si="0"/>
        <v>1</v>
      </c>
      <c r="E14" s="395">
        <f t="shared" si="0"/>
        <v>1</v>
      </c>
      <c r="F14" s="395">
        <f t="shared" si="0"/>
        <v>0.98308729447888632</v>
      </c>
      <c r="G14" s="21">
        <f t="shared" si="0"/>
        <v>1</v>
      </c>
    </row>
    <row r="15" spans="1:12" x14ac:dyDescent="0.25">
      <c r="B15" s="18">
        <v>3</v>
      </c>
      <c r="C15" s="391"/>
      <c r="D15" s="394">
        <f t="shared" si="0"/>
        <v>1</v>
      </c>
      <c r="E15" s="395">
        <f t="shared" si="0"/>
        <v>1</v>
      </c>
      <c r="F15" s="395">
        <f t="shared" si="0"/>
        <v>0.96522925875930121</v>
      </c>
      <c r="G15" s="21">
        <f t="shared" si="0"/>
        <v>1</v>
      </c>
    </row>
    <row r="16" spans="1:12" x14ac:dyDescent="0.25">
      <c r="B16" s="18">
        <v>4</v>
      </c>
      <c r="C16" s="391"/>
      <c r="D16" s="394">
        <f t="shared" si="0"/>
        <v>1</v>
      </c>
      <c r="E16" s="395">
        <f t="shared" si="0"/>
        <v>1</v>
      </c>
      <c r="F16" s="395">
        <f t="shared" si="0"/>
        <v>0.94233242615650892</v>
      </c>
      <c r="G16" s="21">
        <f t="shared" si="0"/>
        <v>0.99451324807130903</v>
      </c>
    </row>
    <row r="17" spans="2:7" x14ac:dyDescent="0.25">
      <c r="B17" s="18">
        <v>5</v>
      </c>
      <c r="C17" s="391"/>
      <c r="D17" s="394">
        <f t="shared" si="0"/>
        <v>1</v>
      </c>
      <c r="E17" s="395">
        <f t="shared" si="0"/>
        <v>1</v>
      </c>
      <c r="F17" s="395">
        <f t="shared" si="0"/>
        <v>0.91506768709608055</v>
      </c>
      <c r="G17" s="21">
        <f t="shared" si="0"/>
        <v>0.98102377196290125</v>
      </c>
    </row>
    <row r="18" spans="2:7" x14ac:dyDescent="0.25">
      <c r="B18" s="18">
        <v>6</v>
      </c>
      <c r="C18" s="391"/>
      <c r="D18" s="394">
        <f t="shared" si="0"/>
        <v>1</v>
      </c>
      <c r="E18" s="394">
        <f t="shared" si="0"/>
        <v>1</v>
      </c>
      <c r="F18" s="395">
        <f t="shared" si="0"/>
        <v>0.88405689607151994</v>
      </c>
      <c r="G18" s="21">
        <f t="shared" si="0"/>
        <v>0.9610304919278353</v>
      </c>
    </row>
    <row r="19" spans="2:7" x14ac:dyDescent="0.25">
      <c r="B19" s="18">
        <v>7</v>
      </c>
      <c r="C19" s="391"/>
      <c r="D19" s="394">
        <f t="shared" si="0"/>
        <v>1</v>
      </c>
      <c r="E19" s="395">
        <f t="shared" si="0"/>
        <v>0.99672728540702971</v>
      </c>
      <c r="F19" s="395">
        <f t="shared" si="0"/>
        <v>0.849894901833256</v>
      </c>
      <c r="G19" s="21">
        <f t="shared" si="0"/>
        <v>0.93546263434260146</v>
      </c>
    </row>
    <row r="20" spans="2:7" x14ac:dyDescent="0.25">
      <c r="B20" s="18">
        <v>8</v>
      </c>
      <c r="C20" s="391"/>
      <c r="D20" s="394">
        <f t="shared" si="0"/>
        <v>1</v>
      </c>
      <c r="E20" s="395">
        <f t="shared" si="0"/>
        <v>0.98864996001381644</v>
      </c>
      <c r="F20" s="395">
        <f t="shared" si="0"/>
        <v>0.8131554612767673</v>
      </c>
      <c r="G20" s="21">
        <f t="shared" si="0"/>
        <v>0.90511715028610329</v>
      </c>
    </row>
    <row r="21" spans="2:7" x14ac:dyDescent="0.25">
      <c r="B21" s="18">
        <v>9</v>
      </c>
      <c r="C21" s="391"/>
      <c r="D21" s="394">
        <f t="shared" si="0"/>
        <v>1</v>
      </c>
      <c r="E21" s="395">
        <f t="shared" si="0"/>
        <v>0.97659517170432097</v>
      </c>
      <c r="F21" s="395">
        <f t="shared" si="0"/>
        <v>0.77439085187439527</v>
      </c>
      <c r="G21" s="21">
        <f t="shared" si="0"/>
        <v>0.87073765362737432</v>
      </c>
    </row>
    <row r="22" spans="2:7" x14ac:dyDescent="0.25">
      <c r="B22" s="18">
        <v>10</v>
      </c>
      <c r="C22" s="391"/>
      <c r="D22" s="394">
        <f t="shared" si="0"/>
        <v>1</v>
      </c>
      <c r="E22" s="395">
        <f t="shared" si="0"/>
        <v>0.9610304919278353</v>
      </c>
      <c r="F22" s="395">
        <f t="shared" si="0"/>
        <v>0.73412889005897974</v>
      </c>
      <c r="G22" s="21">
        <f t="shared" si="0"/>
        <v>0.83303645025329565</v>
      </c>
    </row>
    <row r="23" spans="2:7" x14ac:dyDescent="0.25">
      <c r="B23" s="18">
        <v>11</v>
      </c>
      <c r="C23" s="391"/>
      <c r="D23" s="394">
        <f t="shared" si="0"/>
        <v>1</v>
      </c>
      <c r="E23" s="395">
        <f t="shared" si="0"/>
        <v>0.94233242615650892</v>
      </c>
      <c r="F23" s="395">
        <f t="shared" si="0"/>
        <v>0.6928690310460901</v>
      </c>
      <c r="G23" s="21">
        <f t="shared" si="0"/>
        <v>0.79269883747074243</v>
      </c>
    </row>
    <row r="24" spans="2:7" x14ac:dyDescent="0.25">
      <c r="B24" s="18">
        <v>12</v>
      </c>
      <c r="C24" s="396">
        <f>C3</f>
        <v>1</v>
      </c>
      <c r="D24" s="394">
        <f t="shared" si="0"/>
        <v>1</v>
      </c>
      <c r="E24" s="395">
        <f t="shared" si="0"/>
        <v>0.92083975837910714</v>
      </c>
      <c r="F24" s="395">
        <f t="shared" si="0"/>
        <v>0.65107840109915838</v>
      </c>
      <c r="G24" s="21">
        <f t="shared" si="0"/>
        <v>0.7503807093706214</v>
      </c>
    </row>
    <row r="25" spans="2:7" x14ac:dyDescent="0.25">
      <c r="B25" s="18">
        <v>13</v>
      </c>
      <c r="C25" s="391"/>
      <c r="D25" s="394">
        <f t="shared" si="0"/>
        <v>0.99964568058937042</v>
      </c>
      <c r="E25" s="395">
        <f t="shared" si="0"/>
        <v>0.89687217424956167</v>
      </c>
      <c r="F25" s="395">
        <f t="shared" si="0"/>
        <v>0.60918822454710841</v>
      </c>
      <c r="G25" s="21">
        <f t="shared" si="0"/>
        <v>0.70670365308621608</v>
      </c>
    </row>
    <row r="26" spans="2:7" x14ac:dyDescent="0.25">
      <c r="B26" s="18">
        <v>14</v>
      </c>
      <c r="C26" s="391"/>
      <c r="D26" s="394">
        <f t="shared" si="0"/>
        <v>0.99799731961111438</v>
      </c>
      <c r="E26" s="395">
        <f t="shared" si="0"/>
        <v>0.87073765362737421</v>
      </c>
      <c r="F26" s="395">
        <f t="shared" si="0"/>
        <v>0.56759090033085191</v>
      </c>
      <c r="G26" s="21">
        <f t="shared" si="0"/>
        <v>0.66224943157372418</v>
      </c>
    </row>
    <row r="27" spans="2:7" x14ac:dyDescent="0.25">
      <c r="B27" s="18">
        <v>15</v>
      </c>
      <c r="C27" s="391"/>
      <c r="D27" s="394">
        <f t="shared" si="0"/>
        <v>0.99449095900190587</v>
      </c>
      <c r="E27" s="395">
        <f t="shared" si="0"/>
        <v>0.84273521299425513</v>
      </c>
      <c r="F27" s="395">
        <f t="shared" si="0"/>
        <v>0.52663785977915145</v>
      </c>
      <c r="G27" s="21">
        <f t="shared" si="0"/>
        <v>0.61755480964169096</v>
      </c>
    </row>
    <row r="28" spans="2:7" x14ac:dyDescent="0.25">
      <c r="B28" s="18">
        <v>16</v>
      </c>
      <c r="C28" s="391"/>
      <c r="D28" s="394">
        <f t="shared" si="0"/>
        <v>0.9887238277478988</v>
      </c>
      <c r="E28" s="395">
        <f t="shared" si="0"/>
        <v>0.8131554612767673</v>
      </c>
      <c r="F28" s="395">
        <f t="shared" si="0"/>
        <v>0.48663825796023608</v>
      </c>
      <c r="G28" s="21">
        <f t="shared" si="0"/>
        <v>0.57310722900849687</v>
      </c>
    </row>
    <row r="29" spans="2:7" x14ac:dyDescent="0.25">
      <c r="B29" s="18">
        <v>17</v>
      </c>
      <c r="C29" s="391"/>
      <c r="D29" s="394">
        <f t="shared" si="0"/>
        <v>0.9803843728316719</v>
      </c>
      <c r="E29" s="395">
        <f t="shared" si="0"/>
        <v>0.78228006940691508</v>
      </c>
      <c r="F29" s="395">
        <f t="shared" si="0"/>
        <v>0.44785849671753875</v>
      </c>
      <c r="G29" s="21">
        <f t="shared" si="0"/>
        <v>0.52934159132599801</v>
      </c>
    </row>
    <row r="30" spans="2:7" x14ac:dyDescent="0.25">
      <c r="B30" s="18">
        <v>18</v>
      </c>
      <c r="C30" s="391"/>
      <c r="D30" s="394">
        <f t="shared" si="0"/>
        <v>0.96923323447634413</v>
      </c>
      <c r="E30" s="394">
        <f t="shared" si="0"/>
        <v>0.7503807093706214</v>
      </c>
      <c r="F30" s="395">
        <f t="shared" si="0"/>
        <v>0.41052253926958016</v>
      </c>
      <c r="G30" s="21">
        <f t="shared" si="0"/>
        <v>0.48663825796023596</v>
      </c>
    </row>
    <row r="31" spans="2:7" x14ac:dyDescent="0.25">
      <c r="B31" s="18">
        <v>19</v>
      </c>
      <c r="C31" s="391"/>
      <c r="D31" s="394">
        <f t="shared" si="0"/>
        <v>0.95509663904843412</v>
      </c>
      <c r="E31" s="395">
        <f t="shared" si="0"/>
        <v>0.71771776988961988</v>
      </c>
      <c r="F31" s="395">
        <f t="shared" si="0"/>
        <v>0.374812949261631</v>
      </c>
      <c r="G31" s="21">
        <f t="shared" si="0"/>
        <v>0.44532227679677683</v>
      </c>
    </row>
    <row r="32" spans="2:7" x14ac:dyDescent="0.25">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5">
      <c r="B33" s="18">
        <v>21</v>
      </c>
      <c r="C33" s="391"/>
      <c r="D33" s="394">
        <f t="shared" si="1"/>
        <v>0.9174888297657835</v>
      </c>
      <c r="E33" s="395">
        <f t="shared" si="1"/>
        <v>0.65107840109915838</v>
      </c>
      <c r="F33" s="395">
        <f t="shared" si="1"/>
        <v>0.30880673745940412</v>
      </c>
      <c r="G33" s="21">
        <f t="shared" si="1"/>
        <v>0.36787944117144233</v>
      </c>
    </row>
    <row r="34" spans="2:7" x14ac:dyDescent="0.25">
      <c r="B34" s="18">
        <v>22</v>
      </c>
      <c r="C34" s="391"/>
      <c r="D34" s="394">
        <f t="shared" si="1"/>
        <v>0.89398570815371281</v>
      </c>
      <c r="E34" s="395">
        <f t="shared" si="1"/>
        <v>0.61755480964169096</v>
      </c>
      <c r="F34" s="395">
        <f t="shared" si="1"/>
        <v>0.27868595134134</v>
      </c>
      <c r="G34" s="21">
        <f t="shared" si="1"/>
        <v>0.33213488060513152</v>
      </c>
    </row>
    <row r="35" spans="2:7" x14ac:dyDescent="0.25">
      <c r="B35" s="18">
        <v>23</v>
      </c>
      <c r="C35" s="391"/>
      <c r="D35" s="394">
        <f t="shared" si="1"/>
        <v>0.86743240787387288</v>
      </c>
      <c r="E35" s="395">
        <f t="shared" si="1"/>
        <v>0.58417125928962133</v>
      </c>
      <c r="F35" s="395">
        <f t="shared" si="1"/>
        <v>0.25054885364370327</v>
      </c>
      <c r="G35" s="21">
        <f t="shared" si="1"/>
        <v>0.29854782574943706</v>
      </c>
    </row>
    <row r="36" spans="2:7" x14ac:dyDescent="0.25">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5">
      <c r="B37" s="18">
        <v>25</v>
      </c>
      <c r="C37" s="391"/>
      <c r="D37" s="394">
        <f t="shared" si="1"/>
        <v>0.80578477749724886</v>
      </c>
      <c r="E37" s="395">
        <f t="shared" si="1"/>
        <v>0.51855252354036319</v>
      </c>
      <c r="F37" s="395">
        <f t="shared" si="1"/>
        <v>0.20024050885898936</v>
      </c>
      <c r="G37" s="21">
        <f t="shared" si="1"/>
        <v>0.23810087536176749</v>
      </c>
    </row>
    <row r="38" spans="2:7" x14ac:dyDescent="0.25">
      <c r="B38" s="18">
        <v>26</v>
      </c>
      <c r="C38" s="391"/>
      <c r="D38" s="394">
        <f t="shared" si="1"/>
        <v>0.77113529134046965</v>
      </c>
      <c r="E38" s="395">
        <f t="shared" si="1"/>
        <v>0.48663825796023608</v>
      </c>
      <c r="F38" s="395">
        <f t="shared" si="1"/>
        <v>0.17801688121859338</v>
      </c>
      <c r="G38" s="21">
        <f t="shared" si="1"/>
        <v>0.21127317023397207</v>
      </c>
    </row>
    <row r="39" spans="2:7" x14ac:dyDescent="0.25">
      <c r="B39" s="18">
        <v>27</v>
      </c>
      <c r="C39" s="391"/>
      <c r="D39" s="394">
        <f t="shared" si="1"/>
        <v>0.73431574119168719</v>
      </c>
      <c r="E39" s="395">
        <f t="shared" si="1"/>
        <v>0.45550550673418788</v>
      </c>
      <c r="F39" s="395">
        <f t="shared" si="1"/>
        <v>0.15767895679748034</v>
      </c>
      <c r="G39" s="21">
        <f t="shared" si="1"/>
        <v>0.18667655766055047</v>
      </c>
    </row>
    <row r="40" spans="2:7" x14ac:dyDescent="0.25">
      <c r="B40" s="18">
        <v>28</v>
      </c>
      <c r="C40" s="391"/>
      <c r="D40" s="394">
        <f t="shared" si="1"/>
        <v>0.69566478229732487</v>
      </c>
      <c r="E40" s="395">
        <f t="shared" si="1"/>
        <v>0.42527107116174789</v>
      </c>
      <c r="F40" s="395">
        <f t="shared" si="1"/>
        <v>0.13915589212694768</v>
      </c>
      <c r="G40" s="21">
        <f t="shared" si="1"/>
        <v>0.1642528370875127</v>
      </c>
    </row>
    <row r="41" spans="2:7" x14ac:dyDescent="0.25">
      <c r="B41" s="18">
        <v>29</v>
      </c>
      <c r="C41" s="391"/>
      <c r="D41" s="394">
        <f t="shared" si="1"/>
        <v>0.65555448400571326</v>
      </c>
      <c r="E41" s="395">
        <f t="shared" si="1"/>
        <v>0.39603467182812513</v>
      </c>
      <c r="F41" s="395">
        <f t="shared" si="1"/>
        <v>0.12236473144151083</v>
      </c>
      <c r="G41" s="21">
        <f t="shared" si="1"/>
        <v>0.143922422166186</v>
      </c>
    </row>
    <row r="42" spans="2:7" x14ac:dyDescent="0.25">
      <c r="B42" s="18">
        <v>30</v>
      </c>
      <c r="C42" s="391"/>
      <c r="D42" s="394">
        <f t="shared" si="1"/>
        <v>0.61438145002028</v>
      </c>
      <c r="E42" s="394">
        <f t="shared" si="1"/>
        <v>0.36787944117144233</v>
      </c>
      <c r="F42" s="395">
        <f t="shared" si="1"/>
        <v>0.10721331576175563</v>
      </c>
      <c r="G42" s="21">
        <f t="shared" si="1"/>
        <v>0.12558872465487203</v>
      </c>
    </row>
    <row r="43" spans="2:7" x14ac:dyDescent="0.25">
      <c r="B43" s="18">
        <v>31</v>
      </c>
      <c r="C43" s="391"/>
      <c r="D43" s="394">
        <f t="shared" si="1"/>
        <v>0.57255725386160194</v>
      </c>
      <c r="E43" s="395">
        <f t="shared" si="1"/>
        <v>0.34087256868851834</v>
      </c>
      <c r="F43" s="395">
        <f t="shared" si="1"/>
        <v>9.3602954519502735E-2</v>
      </c>
      <c r="G43" s="21">
        <f t="shared" si="1"/>
        <v>0.10914225979259551</v>
      </c>
    </row>
    <row r="44" spans="2:7" x14ac:dyDescent="0.25">
      <c r="B44" s="18">
        <v>32</v>
      </c>
      <c r="C44" s="391"/>
      <c r="D44" s="394">
        <f t="shared" si="1"/>
        <v>0.53049850169371948</v>
      </c>
      <c r="E44" s="395">
        <f t="shared" si="1"/>
        <v>0.31506607751012794</v>
      </c>
      <c r="F44" s="395">
        <f t="shared" si="1"/>
        <v>8.1430836248249538E-2</v>
      </c>
      <c r="G44" s="21">
        <f t="shared" si="1"/>
        <v>9.4464414295467924E-2</v>
      </c>
    </row>
    <row r="45" spans="2:7" x14ac:dyDescent="0.25">
      <c r="B45" s="18">
        <v>33</v>
      </c>
      <c r="C45" s="391"/>
      <c r="D45" s="394">
        <f t="shared" si="1"/>
        <v>0.48861686235154222</v>
      </c>
      <c r="E45" s="395">
        <f t="shared" si="1"/>
        <v>0.29049771041246508</v>
      </c>
      <c r="F45" s="395">
        <f t="shared" si="1"/>
        <v>7.0592164639350474E-2</v>
      </c>
      <c r="G45" s="21">
        <f t="shared" si="1"/>
        <v>8.1430836248249538E-2</v>
      </c>
    </row>
    <row r="46" spans="2:7" x14ac:dyDescent="0.25">
      <c r="B46" s="18">
        <v>34</v>
      </c>
      <c r="C46" s="391"/>
      <c r="D46" s="394">
        <f t="shared" si="1"/>
        <v>0.44730941399885382</v>
      </c>
      <c r="E46" s="395">
        <f t="shared" si="1"/>
        <v>0.26719190325625874</v>
      </c>
      <c r="F46" s="395">
        <f t="shared" si="1"/>
        <v>6.0982014997255418E-2</v>
      </c>
      <c r="G46" s="21">
        <f t="shared" si="1"/>
        <v>6.9914422850488989E-2</v>
      </c>
    </row>
    <row r="47" spans="2:7" x14ac:dyDescent="0.25">
      <c r="B47" s="18">
        <v>35</v>
      </c>
      <c r="C47" s="391"/>
      <c r="D47" s="394">
        <f t="shared" si="1"/>
        <v>0.406949647740664</v>
      </c>
      <c r="E47" s="395">
        <f t="shared" si="1"/>
        <v>0.24516082427257391</v>
      </c>
      <c r="F47" s="395">
        <f t="shared" si="1"/>
        <v>5.2496913696447711E-2</v>
      </c>
      <c r="G47" s="21">
        <f t="shared" si="1"/>
        <v>5.9787896848882749E-2</v>
      </c>
    </row>
    <row r="48" spans="2:7" x14ac:dyDescent="0.25">
      <c r="B48" s="18">
        <v>36</v>
      </c>
      <c r="C48" s="396">
        <f>C5</f>
        <v>0.219</v>
      </c>
      <c r="D48" s="394">
        <f t="shared" si="1"/>
        <v>0.36787944117144233</v>
      </c>
      <c r="E48" s="395">
        <f t="shared" si="1"/>
        <v>0.22440545846436388</v>
      </c>
      <c r="F48" s="395">
        <f t="shared" si="1"/>
        <v>4.5036149589259722E-2</v>
      </c>
      <c r="G48" s="21">
        <f t="shared" si="1"/>
        <v>5.0925975301708948E-2</v>
      </c>
    </row>
    <row r="49" spans="2:7" x14ac:dyDescent="0.25">
      <c r="B49" s="18">
        <v>37</v>
      </c>
      <c r="C49" s="391"/>
      <c r="D49" s="394">
        <f t="shared" si="1"/>
        <v>0.33040227085122265</v>
      </c>
      <c r="E49" s="395">
        <f t="shared" si="1"/>
        <v>0.20491671758931851</v>
      </c>
      <c r="F49" s="395">
        <f t="shared" si="1"/>
        <v>3.850283143025035E-2</v>
      </c>
      <c r="G49" s="21">
        <f t="shared" si="1"/>
        <v>4.3207144956392884E-2</v>
      </c>
    </row>
    <row r="50" spans="2:7" x14ac:dyDescent="0.25">
      <c r="B50" s="18">
        <v>38</v>
      </c>
      <c r="C50" s="391"/>
      <c r="D50" s="394">
        <f t="shared" si="1"/>
        <v>0.29477787472512929</v>
      </c>
      <c r="E50" s="395">
        <f t="shared" si="1"/>
        <v>0.18667655766055047</v>
      </c>
      <c r="F50" s="395">
        <f t="shared" si="1"/>
        <v>3.2804709305761293E-2</v>
      </c>
      <c r="G50" s="21">
        <f t="shared" si="1"/>
        <v>3.6515066962736542E-2</v>
      </c>
    </row>
    <row r="51" spans="2:7" x14ac:dyDescent="0.25">
      <c r="B51" s="18">
        <v>39</v>
      </c>
      <c r="C51" s="391"/>
      <c r="D51" s="394">
        <f t="shared" si="1"/>
        <v>0.26121850711209382</v>
      </c>
      <c r="E51" s="395">
        <f t="shared" si="1"/>
        <v>0.16965908757950587</v>
      </c>
      <c r="F51" s="395">
        <f t="shared" si="1"/>
        <v>2.7854780858086459E-2</v>
      </c>
      <c r="G51" s="21">
        <f t="shared" si="1"/>
        <v>3.0739639965612686E-2</v>
      </c>
    </row>
    <row r="52" spans="2:7" x14ac:dyDescent="0.25">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5">
      <c r="B53" s="18">
        <v>41</v>
      </c>
      <c r="C53" s="391"/>
      <c r="D53" s="394">
        <f t="shared" si="2"/>
        <v>0.20089560287817543</v>
      </c>
      <c r="E53" s="395">
        <f t="shared" si="2"/>
        <v>0.13915589212694768</v>
      </c>
      <c r="F53" s="395">
        <f t="shared" si="2"/>
        <v>1.9880045646170408E-2</v>
      </c>
      <c r="G53" s="21">
        <f t="shared" si="2"/>
        <v>2.1533777891509898E-2</v>
      </c>
    </row>
    <row r="54" spans="2:7" x14ac:dyDescent="0.25">
      <c r="B54" s="18">
        <v>42</v>
      </c>
      <c r="C54" s="391"/>
      <c r="D54" s="394">
        <f t="shared" si="2"/>
        <v>0.17430857908883035</v>
      </c>
      <c r="E54" s="395">
        <f t="shared" si="2"/>
        <v>0.12558872465487203</v>
      </c>
      <c r="F54" s="395">
        <f t="shared" si="2"/>
        <v>1.6710371707806315E-2</v>
      </c>
      <c r="G54" s="21">
        <f t="shared" si="2"/>
        <v>1.7919796852235992E-2</v>
      </c>
    </row>
    <row r="55" spans="2:7" x14ac:dyDescent="0.25">
      <c r="B55" s="18">
        <v>43</v>
      </c>
      <c r="C55" s="391"/>
      <c r="D55" s="394">
        <f t="shared" si="2"/>
        <v>0.15014331331304309</v>
      </c>
      <c r="E55" s="395">
        <f t="shared" si="2"/>
        <v>0.11308331185949427</v>
      </c>
      <c r="F55" s="395">
        <f t="shared" si="2"/>
        <v>1.3999231770300269E-2</v>
      </c>
      <c r="G55" s="21">
        <f t="shared" si="2"/>
        <v>1.4855670693437961E-2</v>
      </c>
    </row>
    <row r="56" spans="2:7" x14ac:dyDescent="0.25">
      <c r="B56" s="18">
        <v>44</v>
      </c>
      <c r="C56" s="391"/>
      <c r="D56" s="394">
        <f t="shared" si="2"/>
        <v>0.12837482715790938</v>
      </c>
      <c r="E56" s="395">
        <f t="shared" si="2"/>
        <v>0.10158993413238182</v>
      </c>
      <c r="F56" s="395">
        <f t="shared" si="2"/>
        <v>1.1689029872536283E-2</v>
      </c>
      <c r="G56" s="21">
        <f t="shared" si="2"/>
        <v>1.2268914165479594E-2</v>
      </c>
    </row>
    <row r="57" spans="2:7" x14ac:dyDescent="0.25">
      <c r="B57" s="18">
        <v>45</v>
      </c>
      <c r="C57" s="391"/>
      <c r="D57" s="394">
        <f t="shared" si="2"/>
        <v>0.10894040123194071</v>
      </c>
      <c r="E57" s="395">
        <f t="shared" si="2"/>
        <v>9.1056808917926668E-2</v>
      </c>
      <c r="F57" s="395">
        <f t="shared" si="2"/>
        <v>9.7278200649436597E-3</v>
      </c>
      <c r="G57" s="21">
        <f t="shared" si="2"/>
        <v>1.009445279022525E-2</v>
      </c>
    </row>
    <row r="58" spans="2:7" x14ac:dyDescent="0.25">
      <c r="B58" s="18">
        <v>46</v>
      </c>
      <c r="C58" s="391"/>
      <c r="D58" s="394">
        <f t="shared" si="2"/>
        <v>9.1745055453900104E-2</v>
      </c>
      <c r="E58" s="395">
        <f t="shared" si="2"/>
        <v>8.1430836248249538E-2</v>
      </c>
      <c r="F58" s="395">
        <f t="shared" si="2"/>
        <v>8.0690392981475068E-3</v>
      </c>
      <c r="G58" s="21">
        <f t="shared" si="2"/>
        <v>8.2742777618429741E-3</v>
      </c>
    </row>
    <row r="59" spans="2:7" x14ac:dyDescent="0.25">
      <c r="B59" s="18">
        <v>47</v>
      </c>
      <c r="C59" s="391"/>
      <c r="D59" s="394">
        <f t="shared" si="2"/>
        <v>7.6667464508156202E-2</v>
      </c>
      <c r="E59" s="395">
        <f t="shared" si="2"/>
        <v>7.2658271309812839E-2</v>
      </c>
      <c r="F59" s="395">
        <f t="shared" si="2"/>
        <v>6.6711952216890191E-3</v>
      </c>
      <c r="G59" s="21">
        <f t="shared" si="2"/>
        <v>6.7570280577756714E-3</v>
      </c>
    </row>
    <row r="60" spans="2:7" x14ac:dyDescent="0.25">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5">
      <c r="B61" s="18">
        <v>49</v>
      </c>
      <c r="D61" s="390">
        <f t="shared" si="2"/>
        <v>5.22849067021115E-2</v>
      </c>
      <c r="E61" s="21">
        <f t="shared" si="2"/>
        <v>5.7458682895245139E-2</v>
      </c>
      <c r="F61" s="21">
        <f t="shared" si="2"/>
        <v>4.5156278627150881E-3</v>
      </c>
      <c r="G61" s="21">
        <f t="shared" si="2"/>
        <v>4.4562697424368469E-3</v>
      </c>
    </row>
    <row r="62" spans="2:7" x14ac:dyDescent="0.25">
      <c r="B62" s="18">
        <v>50</v>
      </c>
      <c r="D62" s="390">
        <f t="shared" si="2"/>
        <v>4.2659615362509729E-2</v>
      </c>
      <c r="E62" s="21">
        <f t="shared" si="2"/>
        <v>5.0925975301708948E-2</v>
      </c>
      <c r="F62" s="21">
        <f t="shared" si="2"/>
        <v>3.6971118752440191E-3</v>
      </c>
      <c r="G62" s="21">
        <f t="shared" si="2"/>
        <v>3.5989505771300001E-3</v>
      </c>
    </row>
    <row r="63" spans="2:7" x14ac:dyDescent="0.25">
      <c r="B63" s="18">
        <v>51</v>
      </c>
      <c r="D63" s="390">
        <f t="shared" si="2"/>
        <v>3.45223064271728E-2</v>
      </c>
      <c r="E63" s="21">
        <f t="shared" si="2"/>
        <v>4.5036149589259722E-2</v>
      </c>
      <c r="F63" s="21">
        <f t="shared" si="2"/>
        <v>3.0172140316164775E-3</v>
      </c>
      <c r="G63" s="21">
        <f t="shared" si="2"/>
        <v>2.8959242852554246E-3</v>
      </c>
    </row>
    <row r="64" spans="2:7" x14ac:dyDescent="0.25">
      <c r="B64" s="18">
        <v>52</v>
      </c>
      <c r="D64" s="390">
        <f t="shared" si="2"/>
        <v>2.7706293458343301E-2</v>
      </c>
      <c r="E64" s="21">
        <f t="shared" si="2"/>
        <v>3.9739799706733026E-2</v>
      </c>
      <c r="F64" s="21">
        <f t="shared" si="2"/>
        <v>2.4544504009351709E-3</v>
      </c>
      <c r="G64" s="21">
        <f t="shared" si="2"/>
        <v>2.3217322092717874E-3</v>
      </c>
    </row>
    <row r="65" spans="2:7" x14ac:dyDescent="0.25">
      <c r="B65" s="18">
        <v>53</v>
      </c>
      <c r="D65" s="390">
        <f t="shared" si="2"/>
        <v>2.2049913865499482E-2</v>
      </c>
      <c r="E65" s="21">
        <f t="shared" si="2"/>
        <v>3.4989425986837186E-2</v>
      </c>
      <c r="F65" s="21">
        <f t="shared" si="2"/>
        <v>1.9902719695228388E-3</v>
      </c>
      <c r="G65" s="21">
        <f t="shared" si="2"/>
        <v>1.8546295800468959E-3</v>
      </c>
    </row>
    <row r="66" spans="2:7" x14ac:dyDescent="0.25">
      <c r="B66" s="18">
        <v>54</v>
      </c>
      <c r="D66" s="390">
        <f t="shared" si="2"/>
        <v>1.7399623775943063E-2</v>
      </c>
      <c r="E66" s="21">
        <f t="shared" si="2"/>
        <v>3.0739639965612686E-2</v>
      </c>
      <c r="F66" s="21">
        <f t="shared" si="2"/>
        <v>1.6087401576061477E-3</v>
      </c>
      <c r="G66" s="21">
        <f t="shared" si="2"/>
        <v>1.4761440542468973E-3</v>
      </c>
    </row>
    <row r="67" spans="2:7" x14ac:dyDescent="0.25">
      <c r="B67" s="18">
        <v>55</v>
      </c>
      <c r="D67" s="390">
        <f t="shared" si="2"/>
        <v>1.3612331396869903E-2</v>
      </c>
      <c r="E67" s="21">
        <f t="shared" si="2"/>
        <v>2.6947317470043308E-2</v>
      </c>
      <c r="F67" s="21">
        <f t="shared" si="2"/>
        <v>1.2962233980006177E-3</v>
      </c>
      <c r="G67" s="21">
        <f t="shared" si="2"/>
        <v>1.170666052133007E-3</v>
      </c>
    </row>
    <row r="68" spans="2:7" x14ac:dyDescent="0.25">
      <c r="B68" s="18">
        <v>56</v>
      </c>
      <c r="D68" s="390">
        <f t="shared" si="2"/>
        <v>1.055700183503927E-2</v>
      </c>
      <c r="E68" s="21">
        <f t="shared" si="2"/>
        <v>2.3571704870276933E-2</v>
      </c>
      <c r="F68" s="21">
        <f t="shared" si="2"/>
        <v>1.0411165287640411E-3</v>
      </c>
      <c r="G68" s="21">
        <f t="shared" si="2"/>
        <v>9.2507321512669272E-4</v>
      </c>
    </row>
    <row r="69" spans="2:7" x14ac:dyDescent="0.25">
      <c r="B69" s="18">
        <v>57</v>
      </c>
      <c r="D69" s="390">
        <f t="shared" si="2"/>
        <v>8.1155947493921632E-3</v>
      </c>
      <c r="E69" s="21">
        <f t="shared" si="2"/>
        <v>2.0574483454742554E-2</v>
      </c>
      <c r="F69" s="21">
        <f t="shared" si="2"/>
        <v>8.3358386900855841E-4</v>
      </c>
      <c r="G69" s="21">
        <f t="shared" si="2"/>
        <v>7.2838991483914484E-4</v>
      </c>
    </row>
    <row r="70" spans="2:7" x14ac:dyDescent="0.25">
      <c r="B70" s="18">
        <v>58</v>
      </c>
      <c r="D70" s="390">
        <f t="shared" si="2"/>
        <v>6.1834167604025714E-3</v>
      </c>
      <c r="E70" s="21">
        <f t="shared" si="2"/>
        <v>1.7919796852235992E-2</v>
      </c>
      <c r="F70" s="21">
        <f t="shared" si="2"/>
        <v>6.653261260685106E-4</v>
      </c>
      <c r="G70" s="21">
        <f t="shared" si="2"/>
        <v>5.7148163822540177E-4</v>
      </c>
    </row>
    <row r="71" spans="2:7" x14ac:dyDescent="0.25">
      <c r="B71" s="18">
        <v>59</v>
      </c>
      <c r="D71" s="390">
        <f t="shared" si="2"/>
        <v>4.6689832182131852E-3</v>
      </c>
      <c r="E71" s="21">
        <f t="shared" si="2"/>
        <v>1.5574246308966644E-2</v>
      </c>
      <c r="F71" s="21">
        <f t="shared" si="2"/>
        <v>5.2937070953729126E-4</v>
      </c>
      <c r="G71" s="21">
        <f t="shared" si="2"/>
        <v>4.4678321991908909E-4</v>
      </c>
    </row>
    <row r="72" spans="2:7" x14ac:dyDescent="0.25">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5">
      <c r="B73" s="18">
        <v>61</v>
      </c>
      <c r="D73" s="390">
        <f t="shared" si="3"/>
        <v>2.589989187540831E-3</v>
      </c>
      <c r="E73" s="21">
        <f t="shared" si="3"/>
        <v>1.1689029872536283E-2</v>
      </c>
      <c r="F73" s="21">
        <f t="shared" si="3"/>
        <v>3.3200850167025564E-4</v>
      </c>
      <c r="G73" s="21">
        <f t="shared" si="3"/>
        <v>2.7019464849964425E-4</v>
      </c>
    </row>
    <row r="74" spans="2:7" x14ac:dyDescent="0.25">
      <c r="B74" s="18">
        <v>62</v>
      </c>
      <c r="D74" s="390">
        <f t="shared" si="3"/>
        <v>1.9023765504646573E-3</v>
      </c>
      <c r="E74" s="21">
        <f t="shared" si="3"/>
        <v>1.009445279022525E-2</v>
      </c>
      <c r="F74" s="21">
        <f t="shared" si="3"/>
        <v>2.6171112129524943E-4</v>
      </c>
      <c r="G74" s="21">
        <f t="shared" si="3"/>
        <v>2.0901276877349773E-4</v>
      </c>
    </row>
    <row r="75" spans="2:7" x14ac:dyDescent="0.25">
      <c r="B75" s="18">
        <v>63</v>
      </c>
      <c r="D75" s="390">
        <f t="shared" si="3"/>
        <v>1.3842482900661146E-3</v>
      </c>
      <c r="E75" s="21">
        <f t="shared" si="3"/>
        <v>8.699025332679633E-3</v>
      </c>
      <c r="F75" s="21">
        <f t="shared" si="3"/>
        <v>2.0566160738733075E-4</v>
      </c>
      <c r="G75" s="21">
        <f t="shared" si="3"/>
        <v>1.6111895453663205E-4</v>
      </c>
    </row>
    <row r="76" spans="2:7" x14ac:dyDescent="0.25">
      <c r="B76" s="18">
        <v>64</v>
      </c>
      <c r="D76" s="390">
        <f t="shared" si="3"/>
        <v>9.9772275358522844E-4</v>
      </c>
      <c r="E76" s="21">
        <f t="shared" si="3"/>
        <v>7.4807501544102983E-3</v>
      </c>
      <c r="F76" s="21">
        <f t="shared" si="3"/>
        <v>1.6111895453663205E-4</v>
      </c>
      <c r="G76" s="21">
        <f t="shared" si="3"/>
        <v>1.2376655487678079E-4</v>
      </c>
    </row>
    <row r="77" spans="2:7" x14ac:dyDescent="0.25">
      <c r="B77" s="18">
        <v>65</v>
      </c>
      <c r="D77" s="390">
        <f t="shared" si="3"/>
        <v>7.122687876760514E-4</v>
      </c>
      <c r="E77" s="21">
        <f t="shared" si="3"/>
        <v>6.4196243623374505E-3</v>
      </c>
      <c r="F77" s="21">
        <f t="shared" si="3"/>
        <v>1.258364949808799E-4</v>
      </c>
      <c r="G77" s="21">
        <f t="shared" si="3"/>
        <v>9.4743151534348868E-5</v>
      </c>
    </row>
    <row r="78" spans="2:7" x14ac:dyDescent="0.25">
      <c r="B78" s="18">
        <v>66</v>
      </c>
      <c r="D78" s="390">
        <f t="shared" si="3"/>
        <v>5.0358904973690777E-4</v>
      </c>
      <c r="E78" s="21">
        <f t="shared" si="3"/>
        <v>5.4975235803325084E-3</v>
      </c>
      <c r="F78" s="21">
        <f t="shared" si="3"/>
        <v>9.7979966796168938E-5</v>
      </c>
      <c r="G78" s="21">
        <f t="shared" si="3"/>
        <v>7.2274503910452204E-5</v>
      </c>
    </row>
    <row r="79" spans="2:7" x14ac:dyDescent="0.25">
      <c r="B79" s="18">
        <v>67</v>
      </c>
      <c r="D79" s="390">
        <f t="shared" si="3"/>
        <v>3.525879905724727E-4</v>
      </c>
      <c r="E79" s="21">
        <f t="shared" si="3"/>
        <v>4.6980825876707932E-3</v>
      </c>
      <c r="F79" s="21">
        <f t="shared" si="3"/>
        <v>7.6057616771540992E-5</v>
      </c>
      <c r="G79" s="21">
        <f t="shared" si="3"/>
        <v>5.4943964787335098E-5</v>
      </c>
    </row>
    <row r="80" spans="2:7" x14ac:dyDescent="0.25">
      <c r="B80" s="18">
        <v>68</v>
      </c>
      <c r="D80" s="390">
        <f t="shared" si="3"/>
        <v>2.4444352404873193E-4</v>
      </c>
      <c r="E80" s="21">
        <f t="shared" si="3"/>
        <v>4.0065746461579455E-3</v>
      </c>
      <c r="F80" s="21">
        <f t="shared" si="3"/>
        <v>5.8860895872037133E-5</v>
      </c>
      <c r="G80" s="21">
        <f t="shared" si="3"/>
        <v>4.1625281087975807E-5</v>
      </c>
    </row>
    <row r="81" spans="2:7" x14ac:dyDescent="0.25">
      <c r="B81" s="18">
        <v>69</v>
      </c>
      <c r="D81" s="390">
        <f t="shared" si="3"/>
        <v>1.677917494864456E-4</v>
      </c>
      <c r="E81" s="21">
        <f t="shared" si="3"/>
        <v>3.4097913183015471E-3</v>
      </c>
      <c r="F81" s="21">
        <f t="shared" si="3"/>
        <v>4.5414408506361248E-5</v>
      </c>
      <c r="G81" s="21">
        <f t="shared" si="3"/>
        <v>3.1426883004725958E-5</v>
      </c>
    </row>
    <row r="82" spans="2:7" x14ac:dyDescent="0.25">
      <c r="B82" s="18">
        <v>70</v>
      </c>
      <c r="D82" s="390">
        <f t="shared" si="3"/>
        <v>1.1402637597712761E-4</v>
      </c>
      <c r="E82" s="21">
        <f t="shared" si="3"/>
        <v>2.8959242852554246E-3</v>
      </c>
      <c r="F82" s="21">
        <f t="shared" si="3"/>
        <v>3.4933889061616874E-5</v>
      </c>
      <c r="G82" s="21">
        <f t="shared" si="3"/>
        <v>2.3645959206675116E-5</v>
      </c>
    </row>
    <row r="83" spans="2:7" x14ac:dyDescent="0.25">
      <c r="B83" s="18">
        <v>71</v>
      </c>
      <c r="D83" s="390">
        <f t="shared" si="3"/>
        <v>7.6708702562489073E-5</v>
      </c>
      <c r="E83" s="21">
        <f t="shared" si="3"/>
        <v>2.4544504009351709E-3</v>
      </c>
      <c r="F83" s="21">
        <f t="shared" si="3"/>
        <v>2.6791095119715891E-5</v>
      </c>
      <c r="G83" s="21">
        <f t="shared" si="3"/>
        <v>1.7730808173022083E-5</v>
      </c>
    </row>
    <row r="84" spans="2:7" x14ac:dyDescent="0.25">
      <c r="B84" s="18">
        <v>72</v>
      </c>
      <c r="D84" s="390">
        <f t="shared" si="3"/>
        <v>5.1079991764568788E-5</v>
      </c>
      <c r="E84" s="21">
        <f t="shared" si="3"/>
        <v>2.0760209694462572E-3</v>
      </c>
      <c r="F84" s="21">
        <f t="shared" si="3"/>
        <v>2.0484622330063651E-5</v>
      </c>
      <c r="G84" s="21">
        <f t="shared" si="3"/>
        <v>1.325014056063889E-5</v>
      </c>
    </row>
    <row r="85" spans="2:7" x14ac:dyDescent="0.25">
      <c r="B85" s="18">
        <v>73</v>
      </c>
      <c r="D85" s="390">
        <f t="shared" si="3"/>
        <v>3.3665607341304415E-5</v>
      </c>
      <c r="E85" s="21">
        <f t="shared" si="3"/>
        <v>1.7523560077112865E-3</v>
      </c>
      <c r="F85" s="21">
        <f t="shared" si="3"/>
        <v>1.5615758009790426E-5</v>
      </c>
      <c r="G85" s="21">
        <f t="shared" si="3"/>
        <v>9.8681811333545255E-6</v>
      </c>
    </row>
    <row r="86" spans="2:7" x14ac:dyDescent="0.25">
      <c r="B86" s="18">
        <v>74</v>
      </c>
      <c r="D86" s="390">
        <f t="shared" si="3"/>
        <v>2.1959095184986843E-5</v>
      </c>
      <c r="E86" s="21">
        <f t="shared" si="3"/>
        <v>1.4761440542468973E-3</v>
      </c>
      <c r="F86" s="21">
        <f t="shared" si="3"/>
        <v>1.1868596933584108E-5</v>
      </c>
      <c r="G86" s="21">
        <f t="shared" si="3"/>
        <v>7.3245787428621867E-6</v>
      </c>
    </row>
    <row r="87" spans="2:7" x14ac:dyDescent="0.25">
      <c r="B87" s="18">
        <v>75</v>
      </c>
      <c r="D87" s="390">
        <f t="shared" si="3"/>
        <v>1.4174181270143471E-5</v>
      </c>
      <c r="E87" s="21">
        <f t="shared" si="3"/>
        <v>1.2409479081468833E-3</v>
      </c>
      <c r="F87" s="21">
        <f t="shared" si="3"/>
        <v>8.9937419665009344E-6</v>
      </c>
      <c r="G87" s="21">
        <f t="shared" si="3"/>
        <v>5.418277854163378E-6</v>
      </c>
    </row>
    <row r="88" spans="2:7" x14ac:dyDescent="0.25">
      <c r="B88" s="18">
        <v>76</v>
      </c>
      <c r="D88" s="390">
        <f t="shared" si="3"/>
        <v>9.0531678970107166E-6</v>
      </c>
      <c r="E88" s="21">
        <f t="shared" si="3"/>
        <v>1.0411165287640411E-3</v>
      </c>
      <c r="F88" s="21">
        <f t="shared" si="3"/>
        <v>6.7950032648367298E-6</v>
      </c>
      <c r="G88" s="21">
        <f t="shared" si="3"/>
        <v>3.9946347010211269E-6</v>
      </c>
    </row>
    <row r="89" spans="2:7" x14ac:dyDescent="0.25">
      <c r="B89" s="18">
        <v>77</v>
      </c>
      <c r="D89" s="390">
        <f t="shared" si="3"/>
        <v>5.7211851592908758E-6</v>
      </c>
      <c r="E89" s="21">
        <f t="shared" si="3"/>
        <v>8.7170319526963524E-4</v>
      </c>
      <c r="F89" s="21">
        <f t="shared" si="3"/>
        <v>5.1185922865792932E-6</v>
      </c>
      <c r="G89" s="21">
        <f t="shared" si="3"/>
        <v>2.9351755189699347E-6</v>
      </c>
    </row>
    <row r="90" spans="2:7" x14ac:dyDescent="0.25">
      <c r="B90" s="18">
        <v>78</v>
      </c>
      <c r="D90" s="390">
        <f t="shared" si="3"/>
        <v>3.5769950249564531E-6</v>
      </c>
      <c r="E90" s="21">
        <f t="shared" si="3"/>
        <v>7.2838991483914484E-4</v>
      </c>
      <c r="F90" s="21">
        <f t="shared" si="3"/>
        <v>3.8443807318655487E-6</v>
      </c>
      <c r="G90" s="21">
        <f t="shared" si="3"/>
        <v>2.1494940882771374E-6</v>
      </c>
    </row>
    <row r="91" spans="2:7" x14ac:dyDescent="0.25">
      <c r="B91" s="18">
        <v>79</v>
      </c>
      <c r="D91" s="390">
        <f t="shared" si="3"/>
        <v>2.2123911661564577E-6</v>
      </c>
      <c r="E91" s="21">
        <f t="shared" si="3"/>
        <v>6.0741797712760004E-4</v>
      </c>
      <c r="F91" s="21">
        <f t="shared" si="3"/>
        <v>2.8788599886198085E-6</v>
      </c>
      <c r="G91" s="21">
        <f t="shared" si="3"/>
        <v>1.5688719796624895E-6</v>
      </c>
    </row>
    <row r="92" spans="2:7" x14ac:dyDescent="0.25">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5">
      <c r="B93" s="18">
        <v>81</v>
      </c>
      <c r="D93" s="390">
        <f t="shared" si="4"/>
        <v>8.1910867733014925E-7</v>
      </c>
      <c r="E93" s="21">
        <f t="shared" si="4"/>
        <v>4.1988458802177941E-4</v>
      </c>
      <c r="F93" s="21">
        <f t="shared" si="4"/>
        <v>1.600209107888162E-6</v>
      </c>
      <c r="G93" s="21">
        <f t="shared" si="4"/>
        <v>8.2747050522691268E-7</v>
      </c>
    </row>
    <row r="94" spans="2:7" x14ac:dyDescent="0.25">
      <c r="B94" s="18">
        <v>82</v>
      </c>
      <c r="D94" s="390">
        <f t="shared" si="4"/>
        <v>4.9023867043640479E-7</v>
      </c>
      <c r="E94" s="21">
        <f t="shared" si="4"/>
        <v>3.4805926261005649E-4</v>
      </c>
      <c r="F94" s="21">
        <f t="shared" si="4"/>
        <v>1.18780502178506E-6</v>
      </c>
      <c r="G94" s="21">
        <f t="shared" si="4"/>
        <v>5.9796227502850741E-7</v>
      </c>
    </row>
    <row r="95" spans="2:7" x14ac:dyDescent="0.25">
      <c r="B95" s="18">
        <v>83</v>
      </c>
      <c r="D95" s="390">
        <f t="shared" si="4"/>
        <v>2.9016488611866009E-7</v>
      </c>
      <c r="E95" s="21">
        <f t="shared" si="4"/>
        <v>2.8794813021293386E-4</v>
      </c>
      <c r="F95" s="21">
        <f t="shared" si="4"/>
        <v>8.7911285406860884E-7</v>
      </c>
      <c r="G95" s="21">
        <f t="shared" si="4"/>
        <v>4.3068438082549676E-7</v>
      </c>
    </row>
    <row r="96" spans="2:7" x14ac:dyDescent="0.25">
      <c r="B96" s="18">
        <v>84</v>
      </c>
      <c r="D96" s="390">
        <f t="shared" si="4"/>
        <v>1.6983180561869204E-7</v>
      </c>
      <c r="E96" s="21">
        <f t="shared" si="4"/>
        <v>2.3774718659497207E-4</v>
      </c>
      <c r="F96" s="21">
        <f t="shared" si="4"/>
        <v>6.4875128347186006E-7</v>
      </c>
      <c r="G96" s="21">
        <f t="shared" si="4"/>
        <v>3.0918053173234483E-7</v>
      </c>
    </row>
    <row r="97" spans="2:7" x14ac:dyDescent="0.25">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Z4" workbookViewId="0">
      <selection activeCell="AN14" sqref="AN14"/>
    </sheetView>
  </sheetViews>
  <sheetFormatPr defaultColWidth="9.140625" defaultRowHeight="15" x14ac:dyDescent="0.25"/>
  <cols>
    <col min="1" max="11" width="9.140625" style="22"/>
    <col min="12" max="12" width="9.140625" style="25"/>
    <col min="13" max="24" width="9.140625" style="22"/>
    <col min="25" max="25" width="9.42578125" style="25" customWidth="1"/>
    <col min="26" max="35" width="9.140625" style="22"/>
    <col min="36" max="36" width="8.85546875"/>
    <col min="37" max="37" width="9.28515625" style="1135" customWidth="1"/>
    <col min="38" max="39" width="8.85546875" customWidth="1"/>
    <col min="40" max="40" width="10.42578125" customWidth="1"/>
    <col min="41" max="49" width="8.85546875" customWidth="1"/>
    <col min="50" max="16384" width="9.140625" style="22"/>
  </cols>
  <sheetData>
    <row r="1" spans="1:50" x14ac:dyDescent="0.25">
      <c r="A1" s="23" t="s">
        <v>77</v>
      </c>
      <c r="L1" s="24" t="s">
        <v>93</v>
      </c>
      <c r="Y1" s="24" t="s">
        <v>103</v>
      </c>
      <c r="AK1" s="24" t="s">
        <v>103</v>
      </c>
      <c r="AL1" s="22"/>
    </row>
    <row r="2" spans="1:50" x14ac:dyDescent="0.25">
      <c r="A2" s="29" t="s">
        <v>136</v>
      </c>
      <c r="L2" s="25" t="s">
        <v>94</v>
      </c>
      <c r="Y2" s="25" t="s">
        <v>85</v>
      </c>
      <c r="AK2" s="25" t="s">
        <v>85</v>
      </c>
      <c r="AL2" s="22"/>
    </row>
    <row r="3" spans="1:50" x14ac:dyDescent="0.25">
      <c r="A3" s="22" t="s">
        <v>392</v>
      </c>
      <c r="D3" s="22" t="s">
        <v>393</v>
      </c>
      <c r="L3" s="25" t="s">
        <v>85</v>
      </c>
      <c r="Y3" s="25" t="s">
        <v>88</v>
      </c>
      <c r="AD3" s="22" t="s">
        <v>106</v>
      </c>
      <c r="AK3" s="25" t="s">
        <v>88</v>
      </c>
      <c r="AL3" s="22"/>
    </row>
    <row r="4" spans="1:50" x14ac:dyDescent="0.25">
      <c r="L4" s="25" t="s">
        <v>88</v>
      </c>
      <c r="Y4" s="26" t="s">
        <v>78</v>
      </c>
      <c r="Z4" s="27">
        <v>2</v>
      </c>
      <c r="AA4" s="22" t="s">
        <v>86</v>
      </c>
      <c r="AD4" s="28">
        <v>2.8</v>
      </c>
      <c r="AE4" s="485">
        <v>2</v>
      </c>
      <c r="AF4" s="28">
        <v>3</v>
      </c>
      <c r="AK4" s="26" t="s">
        <v>78</v>
      </c>
      <c r="AL4" s="27">
        <v>4</v>
      </c>
    </row>
    <row r="5" spans="1:50" x14ac:dyDescent="0.25">
      <c r="A5" s="22" t="s">
        <v>78</v>
      </c>
      <c r="B5" s="27">
        <v>4</v>
      </c>
      <c r="C5" s="22" t="s">
        <v>390</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5">
      <c r="A6" s="22" t="s">
        <v>79</v>
      </c>
      <c r="B6" s="27">
        <v>1</v>
      </c>
      <c r="C6" s="22" t="s">
        <v>391</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5">
      <c r="L7" s="25" t="s">
        <v>97</v>
      </c>
      <c r="M7" s="27">
        <v>1</v>
      </c>
      <c r="O7" s="27">
        <v>1</v>
      </c>
      <c r="P7" s="22" t="s">
        <v>96</v>
      </c>
      <c r="AE7" s="29" t="s">
        <v>184</v>
      </c>
      <c r="AK7" s="25"/>
      <c r="AL7" s="22"/>
    </row>
    <row r="8" spans="1:50" s="31" customFormat="1" ht="45" x14ac:dyDescent="0.25">
      <c r="A8" s="30" t="s">
        <v>80</v>
      </c>
      <c r="B8" s="30" t="s">
        <v>395</v>
      </c>
      <c r="C8" s="31" t="s">
        <v>396</v>
      </c>
      <c r="D8" s="31" t="s">
        <v>394</v>
      </c>
      <c r="L8" s="32" t="s">
        <v>90</v>
      </c>
      <c r="M8" s="30" t="s">
        <v>137</v>
      </c>
      <c r="N8" s="30" t="s">
        <v>91</v>
      </c>
      <c r="O8" s="30" t="s">
        <v>89</v>
      </c>
      <c r="Y8" s="32" t="s">
        <v>99</v>
      </c>
      <c r="Z8" s="30" t="s">
        <v>98</v>
      </c>
      <c r="AJ8"/>
      <c r="AK8" s="1354" t="s">
        <v>3</v>
      </c>
      <c r="AL8" s="1352" t="s">
        <v>3</v>
      </c>
      <c r="AM8" s="30" t="s">
        <v>98</v>
      </c>
      <c r="AN8" s="1355" t="s">
        <v>412</v>
      </c>
      <c r="AO8"/>
      <c r="AP8"/>
      <c r="AQ8"/>
      <c r="AR8"/>
      <c r="AS8"/>
      <c r="AT8"/>
      <c r="AU8"/>
      <c r="AV8"/>
      <c r="AW8"/>
      <c r="AX8"/>
    </row>
    <row r="9" spans="1:50" x14ac:dyDescent="0.25">
      <c r="A9" s="22">
        <v>0</v>
      </c>
      <c r="B9" s="22">
        <v>0</v>
      </c>
      <c r="C9" s="22">
        <v>0</v>
      </c>
      <c r="D9" s="22">
        <v>0</v>
      </c>
      <c r="L9" s="25">
        <v>-999999</v>
      </c>
      <c r="M9" s="22">
        <v>1</v>
      </c>
      <c r="N9" s="22">
        <v>-1</v>
      </c>
      <c r="O9" s="22">
        <f t="shared" ref="O9:O47" si="0">O$7*(1-WEIBULL(-N9,$O$5,$O$6,1))</f>
        <v>4.51761025491626E-3</v>
      </c>
      <c r="Y9" s="33">
        <v>0</v>
      </c>
      <c r="Z9" s="34">
        <f t="shared" ref="Z9:Z39" si="1">Z$6*(1-WEIBULL(Y9,Z$4,Z$5,1))</f>
        <v>1</v>
      </c>
      <c r="AK9" s="1135">
        <v>2020</v>
      </c>
      <c r="AN9" s="1356">
        <f>AN10</f>
        <v>2</v>
      </c>
      <c r="AX9"/>
    </row>
    <row r="10" spans="1:50" x14ac:dyDescent="0.25">
      <c r="A10" s="22">
        <v>1</v>
      </c>
      <c r="B10" s="22">
        <f>1/(1+EXP(-($A10-B$5)/B$6))</f>
        <v>4.7425873177566781E-2</v>
      </c>
      <c r="C10" s="22">
        <v>4.7425873177566781E-2</v>
      </c>
      <c r="D10" s="22">
        <v>9.1146632754213197E-4</v>
      </c>
      <c r="L10" s="25">
        <v>2.5000000000000001E-2</v>
      </c>
      <c r="M10" s="22">
        <f t="shared" ref="M10:M48" si="2">M$7*(1-WEIBULL(L10,$M$5,$M$6,1))</f>
        <v>0.99999999997089617</v>
      </c>
      <c r="N10" s="22">
        <f t="shared" ref="N10:N47" si="3">L10-1</f>
        <v>-0.97499999999999998</v>
      </c>
      <c r="O10" s="22">
        <f t="shared" si="0"/>
        <v>6.7054850642854769E-3</v>
      </c>
      <c r="Y10" s="35">
        <v>0.05</v>
      </c>
      <c r="Z10" s="34">
        <f t="shared" si="1"/>
        <v>0.99307961249031607</v>
      </c>
      <c r="AK10" s="1135">
        <v>2021</v>
      </c>
      <c r="AN10" s="1356">
        <f t="shared" ref="AN10:AN22" si="4">AN11</f>
        <v>2</v>
      </c>
      <c r="AX10"/>
    </row>
    <row r="11" spans="1:50" x14ac:dyDescent="0.25">
      <c r="A11" s="22">
        <v>2</v>
      </c>
      <c r="B11" s="22">
        <f t="shared" ref="B11:B34" si="5">1/(1+EXP(-($A11-B$5)/B$6))</f>
        <v>0.11920292202211755</v>
      </c>
      <c r="C11" s="22">
        <v>0.11920292202211755</v>
      </c>
      <c r="D11" s="22">
        <v>2.4756826072475091E-3</v>
      </c>
      <c r="L11" s="25">
        <v>0.05</v>
      </c>
      <c r="M11" s="22">
        <f t="shared" si="2"/>
        <v>0.9999999962747097</v>
      </c>
      <c r="N11" s="22">
        <f t="shared" si="3"/>
        <v>-0.95</v>
      </c>
      <c r="O11" s="22">
        <f t="shared" si="0"/>
        <v>9.7583726452178388E-3</v>
      </c>
      <c r="Y11" s="35">
        <v>0.1</v>
      </c>
      <c r="Z11" s="34">
        <f t="shared" si="1"/>
        <v>0.97260447711634834</v>
      </c>
      <c r="AK11" s="1135">
        <v>2022</v>
      </c>
      <c r="AN11" s="1356">
        <f t="shared" si="4"/>
        <v>2</v>
      </c>
      <c r="AX11"/>
    </row>
    <row r="12" spans="1:50" x14ac:dyDescent="0.25">
      <c r="A12" s="22">
        <v>3</v>
      </c>
      <c r="B12" s="22">
        <f t="shared" si="5"/>
        <v>0.2689414213699951</v>
      </c>
      <c r="C12" s="22">
        <v>0.2689414213699951</v>
      </c>
      <c r="D12" s="22">
        <v>6.715297932158526E-3</v>
      </c>
      <c r="L12" s="25">
        <v>7.4999999999999997E-2</v>
      </c>
      <c r="M12" s="22">
        <f t="shared" si="2"/>
        <v>0.99999993634992479</v>
      </c>
      <c r="N12" s="22">
        <f t="shared" si="3"/>
        <v>-0.92500000000000004</v>
      </c>
      <c r="O12" s="22">
        <f t="shared" si="0"/>
        <v>1.3930612444768342E-2</v>
      </c>
      <c r="Y12" s="35">
        <v>0.15</v>
      </c>
      <c r="Z12" s="34">
        <f t="shared" si="1"/>
        <v>0.93941306281347581</v>
      </c>
      <c r="AK12" s="1135">
        <v>2023</v>
      </c>
      <c r="AN12" s="1356">
        <f t="shared" si="4"/>
        <v>2</v>
      </c>
      <c r="AX12"/>
    </row>
    <row r="13" spans="1:50" x14ac:dyDescent="0.25">
      <c r="A13" s="22">
        <v>4</v>
      </c>
      <c r="B13" s="22">
        <f t="shared" si="5"/>
        <v>0.5</v>
      </c>
      <c r="C13" s="22">
        <v>0.5</v>
      </c>
      <c r="D13" s="22">
        <v>1.8148926938333476E-2</v>
      </c>
      <c r="L13" s="25">
        <v>0.1</v>
      </c>
      <c r="M13" s="22">
        <f t="shared" si="2"/>
        <v>0.99999952316295548</v>
      </c>
      <c r="N13" s="22">
        <f t="shared" si="3"/>
        <v>-0.9</v>
      </c>
      <c r="O13" s="22">
        <f t="shared" si="0"/>
        <v>1.9517693175015394E-2</v>
      </c>
      <c r="Y13" s="35">
        <v>0.2</v>
      </c>
      <c r="Z13" s="34">
        <f t="shared" si="1"/>
        <v>0.89483931681436979</v>
      </c>
      <c r="AK13" s="1135">
        <v>2024</v>
      </c>
      <c r="AN13" s="1356">
        <f t="shared" si="4"/>
        <v>2</v>
      </c>
      <c r="AX13"/>
    </row>
    <row r="14" spans="1:50" x14ac:dyDescent="0.25">
      <c r="A14" s="22">
        <v>5</v>
      </c>
      <c r="B14" s="22">
        <f t="shared" si="5"/>
        <v>0.7310585786300049</v>
      </c>
      <c r="C14" s="22">
        <v>0.7310585786300049</v>
      </c>
      <c r="D14" s="22">
        <v>4.8568007099546562E-2</v>
      </c>
      <c r="L14" s="25">
        <v>0.15</v>
      </c>
      <c r="M14" s="22">
        <f t="shared" si="2"/>
        <v>0.99999185282330572</v>
      </c>
      <c r="N14" s="22">
        <f t="shared" si="3"/>
        <v>-0.85</v>
      </c>
      <c r="O14" s="22">
        <f t="shared" si="0"/>
        <v>3.6292830681643129E-2</v>
      </c>
      <c r="Y14" s="35">
        <v>0.25</v>
      </c>
      <c r="Z14" s="34">
        <f t="shared" si="1"/>
        <v>0.84062374333450529</v>
      </c>
      <c r="AK14" s="1135">
        <v>2025</v>
      </c>
      <c r="AN14" s="1356">
        <f t="shared" si="4"/>
        <v>2</v>
      </c>
      <c r="AX14"/>
    </row>
    <row r="15" spans="1:50" x14ac:dyDescent="0.25">
      <c r="A15" s="22">
        <v>6</v>
      </c>
      <c r="B15" s="22">
        <f t="shared" si="5"/>
        <v>0.88079707797788231</v>
      </c>
      <c r="C15" s="22">
        <v>0.88079707797788231</v>
      </c>
      <c r="D15" s="22">
        <v>0.12657698150688335</v>
      </c>
      <c r="L15" s="25">
        <v>0.17499999999999999</v>
      </c>
      <c r="M15" s="22">
        <f t="shared" si="2"/>
        <v>0.99997603203139052</v>
      </c>
      <c r="N15" s="22">
        <f t="shared" si="3"/>
        <v>-0.82499999999999996</v>
      </c>
      <c r="O15" s="22">
        <f t="shared" si="0"/>
        <v>4.8216382864641583E-2</v>
      </c>
      <c r="Y15" s="35">
        <v>0.3</v>
      </c>
      <c r="Z15" s="34">
        <f t="shared" si="1"/>
        <v>0.77880078307140488</v>
      </c>
      <c r="AK15" s="1135">
        <v>2026</v>
      </c>
      <c r="AN15" s="1356">
        <f t="shared" si="4"/>
        <v>2</v>
      </c>
      <c r="AX15"/>
    </row>
    <row r="16" spans="1:50" x14ac:dyDescent="0.25">
      <c r="A16" s="22">
        <v>7</v>
      </c>
      <c r="B16" s="22">
        <f t="shared" si="5"/>
        <v>0.95257412682243336</v>
      </c>
      <c r="C16" s="22">
        <v>0.95257412682243336</v>
      </c>
      <c r="D16" s="22">
        <v>0.30779937244465361</v>
      </c>
      <c r="L16" s="25">
        <v>0.2</v>
      </c>
      <c r="M16" s="22">
        <f t="shared" si="2"/>
        <v>0.99993896670635729</v>
      </c>
      <c r="N16" s="22">
        <f t="shared" si="3"/>
        <v>-0.8</v>
      </c>
      <c r="O16" s="22">
        <f t="shared" si="0"/>
        <v>6.2996045124450561E-2</v>
      </c>
      <c r="Y16" s="35">
        <v>0.35</v>
      </c>
      <c r="Z16" s="34">
        <f t="shared" si="1"/>
        <v>0.7115726362417969</v>
      </c>
      <c r="AK16" s="1135">
        <v>2027</v>
      </c>
      <c r="AN16" s="1356">
        <f t="shared" si="4"/>
        <v>2</v>
      </c>
      <c r="AX16"/>
    </row>
    <row r="17" spans="1:50" x14ac:dyDescent="0.25">
      <c r="A17" s="22">
        <v>8</v>
      </c>
      <c r="B17" s="22">
        <f t="shared" si="5"/>
        <v>0.98201379003790845</v>
      </c>
      <c r="C17" s="22">
        <v>0.98201379003790845</v>
      </c>
      <c r="D17" s="22">
        <v>0.63212055882855767</v>
      </c>
      <c r="L17" s="25">
        <v>0.22500000000000001</v>
      </c>
      <c r="M17" s="22">
        <f t="shared" si="2"/>
        <v>0.99986080696939306</v>
      </c>
      <c r="N17" s="22">
        <f t="shared" si="3"/>
        <v>-0.77500000000000002</v>
      </c>
      <c r="O17" s="22">
        <f t="shared" si="0"/>
        <v>8.0983523798384471E-2</v>
      </c>
      <c r="Y17" s="35">
        <v>0.4</v>
      </c>
      <c r="Z17" s="34">
        <f t="shared" si="1"/>
        <v>0.64118038842995451</v>
      </c>
      <c r="AK17" s="1135">
        <v>2028</v>
      </c>
      <c r="AN17" s="1356">
        <f t="shared" si="4"/>
        <v>2</v>
      </c>
      <c r="AX17"/>
    </row>
    <row r="18" spans="1:50" x14ac:dyDescent="0.25">
      <c r="A18" s="22">
        <v>9</v>
      </c>
      <c r="B18" s="22">
        <f t="shared" si="5"/>
        <v>0.99330714907571527</v>
      </c>
      <c r="C18" s="22">
        <v>0.99330714907571527</v>
      </c>
      <c r="D18" s="22">
        <v>0.93401196415468746</v>
      </c>
      <c r="L18" s="25">
        <v>0.25</v>
      </c>
      <c r="M18" s="22">
        <f t="shared" si="2"/>
        <v>0.99970900404297169</v>
      </c>
      <c r="N18" s="22">
        <f t="shared" si="3"/>
        <v>-0.75</v>
      </c>
      <c r="O18" s="22">
        <f t="shared" si="0"/>
        <v>0.10248602130851758</v>
      </c>
      <c r="Y18" s="35">
        <v>0.45</v>
      </c>
      <c r="Z18" s="34">
        <f t="shared" si="1"/>
        <v>0.56978282473092301</v>
      </c>
      <c r="AK18" s="1135">
        <v>2029</v>
      </c>
      <c r="AN18" s="1356">
        <f t="shared" si="4"/>
        <v>2</v>
      </c>
      <c r="AX18"/>
    </row>
    <row r="19" spans="1:50" x14ac:dyDescent="0.25">
      <c r="A19" s="22">
        <v>10</v>
      </c>
      <c r="B19" s="22">
        <f t="shared" si="5"/>
        <v>0.99752737684336534</v>
      </c>
      <c r="C19" s="22">
        <v>0.99752737684336534</v>
      </c>
      <c r="D19" s="22">
        <v>0.99938202101066886</v>
      </c>
      <c r="L19" s="25">
        <v>0.27500000000000002</v>
      </c>
      <c r="M19" s="22">
        <f t="shared" si="2"/>
        <v>0.99943300947904423</v>
      </c>
      <c r="N19" s="22">
        <f t="shared" si="3"/>
        <v>-0.72499999999999998</v>
      </c>
      <c r="O19" s="22">
        <f t="shared" si="0"/>
        <v>0.12774297538887924</v>
      </c>
      <c r="Y19" s="35">
        <v>0.5</v>
      </c>
      <c r="Z19" s="34">
        <f t="shared" si="1"/>
        <v>0.4993517885992762</v>
      </c>
      <c r="AK19" s="1135">
        <v>2030</v>
      </c>
      <c r="AN19" s="1356">
        <f t="shared" si="4"/>
        <v>2</v>
      </c>
      <c r="AX19"/>
    </row>
    <row r="20" spans="1:50" x14ac:dyDescent="0.25">
      <c r="A20" s="22">
        <v>11</v>
      </c>
      <c r="B20" s="22">
        <f t="shared" si="5"/>
        <v>0.9990889488055994</v>
      </c>
      <c r="C20" s="22">
        <v>0.9990889488055994</v>
      </c>
      <c r="D20" s="22">
        <v>0.99999999810782125</v>
      </c>
      <c r="L20" s="25">
        <v>0.3</v>
      </c>
      <c r="M20" s="22">
        <f t="shared" si="2"/>
        <v>0.99895770070666057</v>
      </c>
      <c r="N20" s="22">
        <f t="shared" si="3"/>
        <v>-0.7</v>
      </c>
      <c r="O20" s="22">
        <f t="shared" si="0"/>
        <v>0.1569038878395056</v>
      </c>
      <c r="Y20" s="35">
        <v>0.55000000000000004</v>
      </c>
      <c r="Z20" s="34">
        <f t="shared" si="1"/>
        <v>0.43159062049319474</v>
      </c>
      <c r="AK20" s="1135">
        <v>2031</v>
      </c>
      <c r="AN20" s="1356">
        <f t="shared" si="4"/>
        <v>2</v>
      </c>
      <c r="AX20"/>
    </row>
    <row r="21" spans="1:50" x14ac:dyDescent="0.25">
      <c r="A21" s="22">
        <v>12</v>
      </c>
      <c r="B21" s="22">
        <f t="shared" si="5"/>
        <v>0.99966464986953363</v>
      </c>
      <c r="C21" s="22">
        <v>0.99966464986953363</v>
      </c>
      <c r="D21" s="22">
        <v>1</v>
      </c>
      <c r="L21" s="25">
        <v>0.32500000000000001</v>
      </c>
      <c r="M21" s="22">
        <f t="shared" si="2"/>
        <v>0.99817544432894423</v>
      </c>
      <c r="N21" s="22">
        <f t="shared" si="3"/>
        <v>-0.67500000000000004</v>
      </c>
      <c r="O21" s="22">
        <f t="shared" si="0"/>
        <v>0.1900091511231311</v>
      </c>
      <c r="Y21" s="35">
        <v>0.6</v>
      </c>
      <c r="Z21" s="34">
        <f t="shared" si="1"/>
        <v>0.36787944117144233</v>
      </c>
      <c r="AK21" s="1135">
        <v>2032</v>
      </c>
      <c r="AN21" s="1356">
        <f t="shared" si="4"/>
        <v>2</v>
      </c>
      <c r="AX21"/>
    </row>
    <row r="22" spans="1:50" x14ac:dyDescent="0.25">
      <c r="A22" s="22">
        <v>13</v>
      </c>
      <c r="B22" s="22">
        <f t="shared" si="5"/>
        <v>0.99987660542401369</v>
      </c>
      <c r="C22" s="22">
        <v>0.99987660542401369</v>
      </c>
      <c r="D22" s="22">
        <v>1</v>
      </c>
      <c r="L22" s="25">
        <v>0.35</v>
      </c>
      <c r="M22" s="22">
        <f t="shared" si="2"/>
        <v>0.9969367645606777</v>
      </c>
      <c r="N22" s="22">
        <f t="shared" si="3"/>
        <v>-0.65</v>
      </c>
      <c r="O22" s="22">
        <f t="shared" si="0"/>
        <v>0.22697567607520741</v>
      </c>
      <c r="Y22" s="35">
        <v>0.65</v>
      </c>
      <c r="Z22" s="34">
        <f t="shared" si="1"/>
        <v>0.30924819293334371</v>
      </c>
      <c r="AK22" s="1135">
        <v>2033</v>
      </c>
      <c r="AN22" s="1356">
        <f t="shared" si="4"/>
        <v>2</v>
      </c>
      <c r="AX22"/>
    </row>
    <row r="23" spans="1:50" ht="15" customHeight="1" x14ac:dyDescent="0.25">
      <c r="A23" s="22">
        <v>14</v>
      </c>
      <c r="B23" s="22">
        <f t="shared" si="5"/>
        <v>0.99995460213129761</v>
      </c>
      <c r="C23" s="22">
        <v>0.99995460213129761</v>
      </c>
      <c r="D23" s="22">
        <v>1</v>
      </c>
      <c r="E23" s="1349"/>
      <c r="F23" s="1349"/>
      <c r="G23" s="1349"/>
      <c r="H23" s="1349"/>
      <c r="I23" s="1349"/>
      <c r="J23" s="1349"/>
      <c r="L23" s="25">
        <v>0.375</v>
      </c>
      <c r="M23" s="22">
        <f t="shared" si="2"/>
        <v>0.9950396809351163</v>
      </c>
      <c r="N23" s="22">
        <f t="shared" si="3"/>
        <v>-0.625</v>
      </c>
      <c r="O23" s="22">
        <f t="shared" si="0"/>
        <v>0.26758881673355606</v>
      </c>
      <c r="Y23" s="35">
        <v>0.7</v>
      </c>
      <c r="Z23" s="34">
        <f t="shared" si="1"/>
        <v>0.25637575668641222</v>
      </c>
      <c r="AK23" s="1135">
        <v>2034</v>
      </c>
      <c r="AN23" s="1356">
        <f>AN24</f>
        <v>2</v>
      </c>
      <c r="AX23"/>
    </row>
    <row r="24" spans="1:50" x14ac:dyDescent="0.25">
      <c r="A24" s="22">
        <v>15</v>
      </c>
      <c r="B24" s="22">
        <f t="shared" si="5"/>
        <v>0.99998329857815205</v>
      </c>
      <c r="C24" s="22">
        <v>0.99998329857815205</v>
      </c>
      <c r="D24" s="1349">
        <v>1</v>
      </c>
      <c r="E24" s="1349"/>
      <c r="F24" s="1349"/>
      <c r="G24" s="1349"/>
      <c r="H24" s="1349"/>
      <c r="I24" s="1349"/>
      <c r="J24" s="1349"/>
      <c r="L24" s="25">
        <v>0.4</v>
      </c>
      <c r="M24" s="22">
        <f t="shared" si="2"/>
        <v>0.99221793826024351</v>
      </c>
      <c r="N24" s="22">
        <f t="shared" si="3"/>
        <v>-0.6</v>
      </c>
      <c r="O24" s="22">
        <f t="shared" si="0"/>
        <v>0.31150160758012346</v>
      </c>
      <c r="Y24" s="35">
        <v>0.75</v>
      </c>
      <c r="Z24" s="34">
        <f t="shared" si="1"/>
        <v>0.20961138715109784</v>
      </c>
      <c r="AK24" s="1135">
        <v>2035</v>
      </c>
      <c r="AL24" s="1353">
        <f t="shared" ref="AL24:AL39" si="6">(AK24-$AK$24)/15</f>
        <v>0</v>
      </c>
      <c r="AM24" s="34">
        <f t="shared" ref="AM24:AM39" si="7">WEIBULL(AL24,AL$4,AL$5,1)</f>
        <v>0</v>
      </c>
      <c r="AN24" s="1356">
        <f>2-AM24</f>
        <v>2</v>
      </c>
      <c r="AX24"/>
    </row>
    <row r="25" spans="1:50" x14ac:dyDescent="0.25">
      <c r="A25" s="22">
        <v>16</v>
      </c>
      <c r="B25" s="22">
        <f t="shared" si="5"/>
        <v>0.99999385582539779</v>
      </c>
      <c r="C25" s="22">
        <v>0.99999385582539779</v>
      </c>
      <c r="D25" s="22">
        <v>1</v>
      </c>
      <c r="L25" s="25">
        <v>0.42499999999999999</v>
      </c>
      <c r="M25" s="22">
        <f t="shared" si="2"/>
        <v>0.98812860058541385</v>
      </c>
      <c r="N25" s="22">
        <f t="shared" si="3"/>
        <v>-0.57499999999999996</v>
      </c>
      <c r="O25" s="22">
        <f t="shared" si="0"/>
        <v>0.35824172723251291</v>
      </c>
      <c r="Y25" s="35">
        <v>0.8</v>
      </c>
      <c r="Z25" s="34">
        <f t="shared" si="1"/>
        <v>0.16901331540606601</v>
      </c>
      <c r="AK25" s="1135">
        <v>2036</v>
      </c>
      <c r="AL25" s="1353">
        <f t="shared" si="6"/>
        <v>6.6666666666666666E-2</v>
      </c>
      <c r="AM25" s="34">
        <f t="shared" si="7"/>
        <v>1.5240417557940526E-4</v>
      </c>
      <c r="AN25" s="1356">
        <f t="shared" ref="AN25:AN39" si="8">2-AM25</f>
        <v>1.9998475958244206</v>
      </c>
      <c r="AX25"/>
    </row>
    <row r="26" spans="1:50" x14ac:dyDescent="0.25">
      <c r="A26" s="22">
        <v>17</v>
      </c>
      <c r="B26" s="22">
        <f t="shared" si="5"/>
        <v>0.99999773967570205</v>
      </c>
      <c r="C26" s="22">
        <v>0.99999773967570205</v>
      </c>
      <c r="D26" s="22">
        <v>1</v>
      </c>
      <c r="L26" s="25">
        <v>0.45</v>
      </c>
      <c r="M26" s="22">
        <f t="shared" si="2"/>
        <v>0.98233985300209392</v>
      </c>
      <c r="N26" s="22">
        <f t="shared" si="3"/>
        <v>-0.55000000000000004</v>
      </c>
      <c r="O26" s="22">
        <f t="shared" si="0"/>
        <v>0.40722594992410832</v>
      </c>
      <c r="Y26" s="35">
        <v>0.85</v>
      </c>
      <c r="Z26" s="34">
        <f t="shared" si="1"/>
        <v>0.13439871063288245</v>
      </c>
      <c r="AK26" s="1135">
        <v>2037</v>
      </c>
      <c r="AL26" s="1353">
        <f t="shared" si="6"/>
        <v>0.13333333333333333</v>
      </c>
      <c r="AM26" s="34">
        <f t="shared" si="7"/>
        <v>2.4356815467030703E-3</v>
      </c>
      <c r="AN26" s="1356">
        <f t="shared" si="8"/>
        <v>1.997564318453297</v>
      </c>
      <c r="AX26"/>
    </row>
    <row r="27" spans="1:50" x14ac:dyDescent="0.25">
      <c r="A27" s="22">
        <v>18</v>
      </c>
      <c r="B27" s="22">
        <f t="shared" si="5"/>
        <v>0.99999916847197223</v>
      </c>
      <c r="C27" s="22">
        <v>0.99999916847197223</v>
      </c>
      <c r="D27" s="22">
        <v>1</v>
      </c>
      <c r="L27" s="25">
        <v>0.47499999999999998</v>
      </c>
      <c r="M27" s="22">
        <f t="shared" si="2"/>
        <v>0.97432038550085287</v>
      </c>
      <c r="N27" s="22">
        <f t="shared" si="3"/>
        <v>-0.52500000000000002</v>
      </c>
      <c r="O27" s="22">
        <f t="shared" si="0"/>
        <v>0.45778121686063711</v>
      </c>
      <c r="Y27" s="35">
        <v>0.9</v>
      </c>
      <c r="Z27" s="34">
        <f t="shared" si="1"/>
        <v>0.10539922456186435</v>
      </c>
      <c r="AK27" s="1135">
        <v>2038</v>
      </c>
      <c r="AL27" s="1353">
        <f t="shared" si="6"/>
        <v>0.2</v>
      </c>
      <c r="AM27" s="34">
        <f t="shared" si="7"/>
        <v>1.2269783764389463E-2</v>
      </c>
      <c r="AN27" s="1356">
        <f t="shared" si="8"/>
        <v>1.9877302162356105</v>
      </c>
      <c r="AX27"/>
    </row>
    <row r="28" spans="1:50" x14ac:dyDescent="0.25">
      <c r="A28" s="22">
        <v>19</v>
      </c>
      <c r="B28" s="22">
        <f t="shared" si="5"/>
        <v>0.99999969409777301</v>
      </c>
      <c r="C28" s="22">
        <v>0.99999969409777301</v>
      </c>
      <c r="D28" s="22">
        <v>1</v>
      </c>
      <c r="L28" s="25">
        <v>0.5</v>
      </c>
      <c r="M28" s="22">
        <f t="shared" si="2"/>
        <v>0.9634324495939437</v>
      </c>
      <c r="N28" s="22">
        <f t="shared" si="3"/>
        <v>-0.5</v>
      </c>
      <c r="O28" s="22">
        <f t="shared" si="0"/>
        <v>0.50917092352272386</v>
      </c>
      <c r="Y28" s="35">
        <v>0.95</v>
      </c>
      <c r="Z28" s="34">
        <f t="shared" si="1"/>
        <v>8.1516938624689561E-2</v>
      </c>
      <c r="AK28" s="1135">
        <v>2039</v>
      </c>
      <c r="AL28" s="1353">
        <f t="shared" si="6"/>
        <v>0.26666666666666666</v>
      </c>
      <c r="AM28" s="34">
        <f t="shared" si="7"/>
        <v>3.826702759539987E-2</v>
      </c>
      <c r="AN28" s="1356">
        <f t="shared" si="8"/>
        <v>1.9617329724046002</v>
      </c>
      <c r="AX28"/>
    </row>
    <row r="29" spans="1:50" x14ac:dyDescent="0.25">
      <c r="A29" s="22">
        <v>20</v>
      </c>
      <c r="B29" s="22">
        <f t="shared" si="5"/>
        <v>0.99999988746483792</v>
      </c>
      <c r="C29" s="22">
        <v>0.99999988746483792</v>
      </c>
      <c r="D29" s="22">
        <v>1</v>
      </c>
      <c r="L29" s="25">
        <v>0.52500000000000002</v>
      </c>
      <c r="M29" s="22">
        <f t="shared" si="2"/>
        <v>0.94893158415692824</v>
      </c>
      <c r="N29" s="22">
        <f t="shared" si="3"/>
        <v>-0.47499999999999998</v>
      </c>
      <c r="O29" s="22">
        <f t="shared" si="0"/>
        <v>0.56062463136977081</v>
      </c>
      <c r="Y29" s="35">
        <v>1</v>
      </c>
      <c r="Z29" s="34">
        <f t="shared" si="1"/>
        <v>6.2176524022116264E-2</v>
      </c>
      <c r="AK29" s="1135">
        <v>2040</v>
      </c>
      <c r="AL29" s="1353">
        <f t="shared" si="6"/>
        <v>0.33333333333333331</v>
      </c>
      <c r="AM29" s="34">
        <f t="shared" si="7"/>
        <v>9.0863352593165345E-2</v>
      </c>
      <c r="AN29" s="1356">
        <f t="shared" si="8"/>
        <v>1.9091366474068348</v>
      </c>
      <c r="AX29"/>
    </row>
    <row r="30" spans="1:50" x14ac:dyDescent="0.25">
      <c r="A30" s="22">
        <v>21</v>
      </c>
      <c r="B30" s="22">
        <f t="shared" si="5"/>
        <v>0.99999995860062441</v>
      </c>
      <c r="C30" s="22">
        <v>0.99999995860062441</v>
      </c>
      <c r="D30" s="22">
        <v>1</v>
      </c>
      <c r="L30" s="25">
        <v>0.55000000000000004</v>
      </c>
      <c r="M30" s="22">
        <f t="shared" si="2"/>
        <v>0.92997705138372622</v>
      </c>
      <c r="N30" s="22">
        <f t="shared" si="3"/>
        <v>-0.44999999999999996</v>
      </c>
      <c r="O30" s="22">
        <f t="shared" si="0"/>
        <v>0.61136920713398091</v>
      </c>
      <c r="Y30" s="35">
        <v>1.05</v>
      </c>
      <c r="Z30" s="34">
        <f t="shared" si="1"/>
        <v>4.6770622383959015E-2</v>
      </c>
      <c r="AK30" s="1135">
        <v>2041</v>
      </c>
      <c r="AL30" s="1353">
        <f t="shared" si="6"/>
        <v>0.4</v>
      </c>
      <c r="AM30" s="34">
        <f t="shared" si="7"/>
        <v>0.17924519170173203</v>
      </c>
      <c r="AN30" s="1356">
        <f t="shared" si="8"/>
        <v>1.8207548082982679</v>
      </c>
      <c r="AX30"/>
    </row>
    <row r="31" spans="1:50" x14ac:dyDescent="0.25">
      <c r="A31" s="22">
        <v>22</v>
      </c>
      <c r="B31" s="22">
        <f t="shared" si="5"/>
        <v>0.9999999847700205</v>
      </c>
      <c r="C31" s="22">
        <v>0.9999999847700205</v>
      </c>
      <c r="D31" s="22">
        <v>1</v>
      </c>
      <c r="L31" s="25">
        <v>0.57499999999999996</v>
      </c>
      <c r="M31" s="22">
        <f t="shared" si="2"/>
        <v>0.90565805896143126</v>
      </c>
      <c r="N31" s="22">
        <f t="shared" si="3"/>
        <v>-0.42500000000000004</v>
      </c>
      <c r="O31" s="22">
        <f t="shared" si="0"/>
        <v>0.66065937979978262</v>
      </c>
      <c r="Y31" s="35">
        <v>1.1000000000000001</v>
      </c>
      <c r="Z31" s="34">
        <f t="shared" si="1"/>
        <v>3.4696685646156467E-2</v>
      </c>
      <c r="AK31" s="1135">
        <v>2042</v>
      </c>
      <c r="AL31" s="1353">
        <f t="shared" si="6"/>
        <v>0.46666666666666667</v>
      </c>
      <c r="AM31" s="34">
        <f t="shared" si="7"/>
        <v>0.30646273948068542</v>
      </c>
      <c r="AN31" s="1356">
        <f t="shared" si="8"/>
        <v>1.6935372605193146</v>
      </c>
      <c r="AX31"/>
    </row>
    <row r="32" spans="1:50" x14ac:dyDescent="0.25">
      <c r="A32" s="22">
        <v>23</v>
      </c>
      <c r="B32" s="22">
        <f t="shared" si="5"/>
        <v>0.99999999439720355</v>
      </c>
      <c r="C32" s="22">
        <v>0.99999999439720355</v>
      </c>
      <c r="D32" s="22">
        <v>1</v>
      </c>
      <c r="L32" s="25">
        <v>0.6</v>
      </c>
      <c r="M32" s="22">
        <f t="shared" si="2"/>
        <v>0.87504156865492166</v>
      </c>
      <c r="N32" s="22">
        <f t="shared" si="3"/>
        <v>-0.4</v>
      </c>
      <c r="O32" s="22">
        <f t="shared" si="0"/>
        <v>0.7078058710663363</v>
      </c>
      <c r="Y32" s="35">
        <v>1.1499999999999999</v>
      </c>
      <c r="Z32" s="34">
        <f t="shared" si="1"/>
        <v>2.538463749137676E-2</v>
      </c>
      <c r="AK32" s="1135">
        <v>2043</v>
      </c>
      <c r="AL32" s="1353">
        <f t="shared" si="6"/>
        <v>0.53333333333333333</v>
      </c>
      <c r="AM32" s="34">
        <f t="shared" si="7"/>
        <v>0.46436112035159544</v>
      </c>
      <c r="AN32" s="1356">
        <f t="shared" si="8"/>
        <v>1.5356388796484046</v>
      </c>
      <c r="AX32"/>
    </row>
    <row r="33" spans="1:50" x14ac:dyDescent="0.25">
      <c r="A33" s="22">
        <v>24</v>
      </c>
      <c r="B33" s="22">
        <f t="shared" si="5"/>
        <v>0.99999999793884631</v>
      </c>
      <c r="C33" s="22">
        <v>0.99999999793884631</v>
      </c>
      <c r="D33" s="22">
        <v>1</v>
      </c>
      <c r="L33" s="25">
        <v>0.625</v>
      </c>
      <c r="M33" s="22">
        <f t="shared" si="2"/>
        <v>0.83724739060375519</v>
      </c>
      <c r="N33" s="22">
        <f t="shared" si="3"/>
        <v>-0.375</v>
      </c>
      <c r="O33" s="22">
        <f t="shared" si="0"/>
        <v>0.75219956714526204</v>
      </c>
      <c r="Y33" s="35">
        <v>1.2</v>
      </c>
      <c r="Z33" s="34">
        <f t="shared" si="1"/>
        <v>1.831563888873422E-2</v>
      </c>
      <c r="AK33" s="1135">
        <v>2044</v>
      </c>
      <c r="AL33" s="1353">
        <f t="shared" si="6"/>
        <v>0.6</v>
      </c>
      <c r="AM33" s="34">
        <f t="shared" si="7"/>
        <v>0.63212055882855767</v>
      </c>
      <c r="AN33" s="1356">
        <f t="shared" si="8"/>
        <v>1.3678794411714423</v>
      </c>
      <c r="AX33"/>
    </row>
    <row r="34" spans="1:50" x14ac:dyDescent="0.25">
      <c r="A34" s="22">
        <v>25</v>
      </c>
      <c r="B34" s="22">
        <f t="shared" si="5"/>
        <v>0.99999999924174388</v>
      </c>
      <c r="C34" s="22">
        <v>0.99999999924174388</v>
      </c>
      <c r="D34" s="22">
        <v>1</v>
      </c>
      <c r="L34" s="25">
        <v>0.65</v>
      </c>
      <c r="M34" s="22">
        <f t="shared" si="2"/>
        <v>0.79155458216907237</v>
      </c>
      <c r="N34" s="22">
        <f t="shared" si="3"/>
        <v>-0.35</v>
      </c>
      <c r="O34" s="22">
        <f t="shared" si="0"/>
        <v>0.79333061294042917</v>
      </c>
      <c r="Y34" s="35">
        <v>1.25</v>
      </c>
      <c r="Z34" s="34">
        <f t="shared" si="1"/>
        <v>1.3032907448509379E-2</v>
      </c>
      <c r="AK34" s="1135">
        <v>2045</v>
      </c>
      <c r="AL34" s="1353">
        <f t="shared" si="6"/>
        <v>0.66666666666666663</v>
      </c>
      <c r="AM34" s="34">
        <f t="shared" si="7"/>
        <v>0.78219560786090769</v>
      </c>
      <c r="AN34" s="1356">
        <f t="shared" si="8"/>
        <v>1.2178043921390924</v>
      </c>
      <c r="AX34"/>
    </row>
    <row r="35" spans="1:50" x14ac:dyDescent="0.25">
      <c r="L35" s="25">
        <v>0.67500000000000004</v>
      </c>
      <c r="M35" s="22">
        <f t="shared" si="2"/>
        <v>0.73753897394476564</v>
      </c>
      <c r="N35" s="22">
        <f t="shared" si="3"/>
        <v>-0.32499999999999996</v>
      </c>
      <c r="O35" s="22">
        <f t="shared" si="0"/>
        <v>0.83080177321422377</v>
      </c>
      <c r="Y35" s="35">
        <v>1.3</v>
      </c>
      <c r="Z35" s="34">
        <f t="shared" si="1"/>
        <v>9.1459470384278596E-3</v>
      </c>
      <c r="AK35" s="1135">
        <v>2046</v>
      </c>
      <c r="AL35" s="1353">
        <f t="shared" si="6"/>
        <v>0.73333333333333328</v>
      </c>
      <c r="AM35" s="34">
        <f t="shared" si="7"/>
        <v>0.89263484441361618</v>
      </c>
      <c r="AN35" s="1356">
        <f t="shared" si="8"/>
        <v>1.1073651555863839</v>
      </c>
      <c r="AX35"/>
    </row>
    <row r="36" spans="1:50" x14ac:dyDescent="0.25">
      <c r="L36" s="25">
        <v>0.7</v>
      </c>
      <c r="M36" s="22">
        <f t="shared" si="2"/>
        <v>0.67523405249260549</v>
      </c>
      <c r="N36" s="22">
        <f t="shared" si="3"/>
        <v>-0.30000000000000004</v>
      </c>
      <c r="O36" s="22">
        <f t="shared" si="0"/>
        <v>0.86433586981998112</v>
      </c>
      <c r="Y36" s="35">
        <v>1.35</v>
      </c>
      <c r="Z36" s="34">
        <f t="shared" si="1"/>
        <v>6.329715427485727E-3</v>
      </c>
      <c r="AK36" s="1135">
        <v>2047</v>
      </c>
      <c r="AL36" s="1353">
        <f t="shared" si="6"/>
        <v>0.8</v>
      </c>
      <c r="AM36" s="34">
        <f t="shared" si="7"/>
        <v>0.95759520473050741</v>
      </c>
      <c r="AN36" s="1356">
        <f t="shared" si="8"/>
        <v>1.0424047952694926</v>
      </c>
      <c r="AX36"/>
    </row>
    <row r="37" spans="1:50" x14ac:dyDescent="0.25">
      <c r="L37" s="25">
        <v>0.72499999999999998</v>
      </c>
      <c r="M37" s="22">
        <f t="shared" si="2"/>
        <v>0.60529612644814879</v>
      </c>
      <c r="N37" s="22">
        <f t="shared" si="3"/>
        <v>-0.27500000000000002</v>
      </c>
      <c r="O37" s="22">
        <f t="shared" si="0"/>
        <v>0.89377752699959134</v>
      </c>
      <c r="Y37" s="35">
        <v>1.4</v>
      </c>
      <c r="Z37" s="34">
        <f t="shared" si="1"/>
        <v>4.3202394740941008E-3</v>
      </c>
      <c r="AK37" s="1135">
        <v>2048</v>
      </c>
      <c r="AL37" s="1353">
        <f t="shared" si="6"/>
        <v>0.8666666666666667</v>
      </c>
      <c r="AM37" s="34">
        <f t="shared" si="7"/>
        <v>0.98713374628095452</v>
      </c>
      <c r="AN37" s="1356">
        <f t="shared" si="8"/>
        <v>1.0128662537190456</v>
      </c>
      <c r="AX37"/>
    </row>
    <row r="38" spans="1:50" x14ac:dyDescent="0.25">
      <c r="L38" s="25">
        <v>0.75</v>
      </c>
      <c r="M38" s="22">
        <f t="shared" si="2"/>
        <v>0.52914077242073576</v>
      </c>
      <c r="N38" s="22">
        <f t="shared" si="3"/>
        <v>-0.25</v>
      </c>
      <c r="O38" s="22">
        <f t="shared" si="0"/>
        <v>0.91908980640374016</v>
      </c>
      <c r="Y38" s="35">
        <v>1.45</v>
      </c>
      <c r="Z38" s="34">
        <f t="shared" si="1"/>
        <v>2.9080347261855044E-3</v>
      </c>
      <c r="AK38" s="1135">
        <v>2049</v>
      </c>
      <c r="AL38" s="1353">
        <f t="shared" si="6"/>
        <v>0.93333333333333335</v>
      </c>
      <c r="AM38" s="34">
        <f t="shared" si="7"/>
        <v>0.99713505177129269</v>
      </c>
      <c r="AN38" s="1356">
        <f t="shared" si="8"/>
        <v>1.0028649482287073</v>
      </c>
      <c r="AX38"/>
    </row>
    <row r="39" spans="1:50" x14ac:dyDescent="0.25">
      <c r="L39" s="25">
        <v>0.77500000000000002</v>
      </c>
      <c r="M39" s="22">
        <f t="shared" si="2"/>
        <v>0.44900446071673594</v>
      </c>
      <c r="N39" s="22">
        <f t="shared" si="3"/>
        <v>-0.22499999999999998</v>
      </c>
      <c r="O39" s="22">
        <f t="shared" si="0"/>
        <v>0.94034657071919869</v>
      </c>
      <c r="Y39" s="35">
        <v>1.5</v>
      </c>
      <c r="Z39" s="34">
        <f t="shared" si="1"/>
        <v>1.9304541362277217E-3</v>
      </c>
      <c r="AK39" s="1135">
        <v>2050</v>
      </c>
      <c r="AL39" s="1353">
        <f t="shared" si="6"/>
        <v>1</v>
      </c>
      <c r="AM39" s="34">
        <f t="shared" si="7"/>
        <v>0.99955438240440797</v>
      </c>
      <c r="AN39" s="1356">
        <f t="shared" si="8"/>
        <v>1.000445617595592</v>
      </c>
      <c r="AX39"/>
    </row>
    <row r="40" spans="1:50" x14ac:dyDescent="0.25">
      <c r="L40" s="25">
        <v>0.8</v>
      </c>
      <c r="M40" s="22">
        <f t="shared" si="2"/>
        <v>0.36787944117144233</v>
      </c>
      <c r="N40" s="22">
        <f t="shared" si="3"/>
        <v>-0.19999999999999996</v>
      </c>
      <c r="O40" s="22">
        <f t="shared" si="0"/>
        <v>0.95772157283543613</v>
      </c>
      <c r="Z40" s="29"/>
    </row>
    <row r="41" spans="1:50" x14ac:dyDescent="0.25">
      <c r="L41" s="25">
        <v>0.82499999999999996</v>
      </c>
      <c r="M41" s="22">
        <f t="shared" si="2"/>
        <v>0.2892800760938834</v>
      </c>
      <c r="N41" s="22">
        <f t="shared" si="3"/>
        <v>-0.17500000000000004</v>
      </c>
      <c r="O41" s="22">
        <f t="shared" si="0"/>
        <v>0.97147533043809331</v>
      </c>
      <c r="Z41" s="29"/>
    </row>
    <row r="42" spans="1:50" x14ac:dyDescent="0.25">
      <c r="L42" s="25">
        <v>0.85</v>
      </c>
      <c r="M42" s="22">
        <f t="shared" si="2"/>
        <v>0.21683237755298213</v>
      </c>
      <c r="N42" s="22">
        <f t="shared" si="3"/>
        <v>-0.15000000000000002</v>
      </c>
      <c r="O42" s="22">
        <f t="shared" si="0"/>
        <v>0.98194082615872769</v>
      </c>
      <c r="Z42" s="29"/>
    </row>
    <row r="43" spans="1:50" x14ac:dyDescent="0.25">
      <c r="L43" s="25">
        <v>0.875</v>
      </c>
      <c r="M43" s="22">
        <f t="shared" si="2"/>
        <v>0.15373576100167052</v>
      </c>
      <c r="N43" s="22">
        <f t="shared" si="3"/>
        <v>-0.125</v>
      </c>
      <c r="O43" s="22">
        <f t="shared" si="0"/>
        <v>0.98950898865769854</v>
      </c>
      <c r="Z43" s="29"/>
    </row>
    <row r="44" spans="1:50" x14ac:dyDescent="0.25">
      <c r="L44" s="25">
        <v>0.9</v>
      </c>
      <c r="M44" s="22">
        <f t="shared" si="2"/>
        <v>0.10221290412453365</v>
      </c>
      <c r="N44" s="22">
        <f t="shared" si="3"/>
        <v>-9.9999999999999978E-2</v>
      </c>
      <c r="O44" s="22">
        <f t="shared" si="0"/>
        <v>0.99461478043461715</v>
      </c>
      <c r="Z44" s="29"/>
    </row>
    <row r="45" spans="1:50" x14ac:dyDescent="0.25">
      <c r="L45" s="25">
        <v>0.92500000000000004</v>
      </c>
      <c r="M45" s="22">
        <f t="shared" si="2"/>
        <v>6.3109670968522158E-2</v>
      </c>
      <c r="N45" s="22">
        <f t="shared" si="3"/>
        <v>-7.4999999999999956E-2</v>
      </c>
      <c r="O45" s="22">
        <f t="shared" si="0"/>
        <v>0.99772456387142661</v>
      </c>
      <c r="Z45" s="29"/>
    </row>
    <row r="46" spans="1:50" x14ac:dyDescent="0.25">
      <c r="L46" s="25">
        <v>0.95</v>
      </c>
      <c r="M46" s="22">
        <f t="shared" si="2"/>
        <v>3.5795549198594179E-2</v>
      </c>
      <c r="N46" s="22">
        <f t="shared" si="3"/>
        <v>-5.0000000000000044E-2</v>
      </c>
      <c r="O46" s="22">
        <f t="shared" si="0"/>
        <v>0.99932525622582913</v>
      </c>
      <c r="Z46" s="29"/>
    </row>
    <row r="47" spans="1:50" x14ac:dyDescent="0.25">
      <c r="L47" s="25">
        <v>0.97499999999999998</v>
      </c>
      <c r="M47" s="22">
        <f t="shared" si="2"/>
        <v>1.842682212202218E-2</v>
      </c>
      <c r="N47" s="22">
        <f t="shared" si="3"/>
        <v>-2.5000000000000022E-2</v>
      </c>
      <c r="O47" s="22">
        <f t="shared" si="0"/>
        <v>0.99991563211964452</v>
      </c>
      <c r="Z47" s="29"/>
    </row>
    <row r="48" spans="1:50" x14ac:dyDescent="0.25">
      <c r="L48" s="25">
        <v>1</v>
      </c>
      <c r="M48" s="22">
        <f t="shared" si="2"/>
        <v>8.4942010133964851E-3</v>
      </c>
      <c r="N48" s="22">
        <v>1</v>
      </c>
      <c r="O48" s="22">
        <f>O$7</f>
        <v>1</v>
      </c>
      <c r="Z48" s="29"/>
    </row>
    <row r="49" spans="26:26" x14ac:dyDescent="0.25">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2" ma:contentTypeDescription="Create a new document." ma:contentTypeScope="" ma:versionID="534d037a17861075ab2d267e6ac7bf8d">
  <xsd:schema xmlns:xsd="http://www.w3.org/2001/XMLSchema" xmlns:xs="http://www.w3.org/2001/XMLSchema" xmlns:p="http://schemas.microsoft.com/office/2006/metadata/properties" xmlns:ns2="065de1db-e31c-4292-be75-d6c27d0859e3" targetNamespace="http://schemas.microsoft.com/office/2006/metadata/properties" ma:root="true" ma:fieldsID="c49a30117dbd9dbcf3404e1f18540ac6" ns2:_="">
    <xsd:import namespace="065de1db-e31c-4292-be75-d6c27d0859e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3C34440-8B68-467C-809C-D8AD8560F311}"/>
</file>

<file path=customXml/itemProps2.xml><?xml version="1.0" encoding="utf-8"?>
<ds:datastoreItem xmlns:ds="http://schemas.openxmlformats.org/officeDocument/2006/customXml" ds:itemID="{6D47DDDF-63E3-4EA5-87AD-D2591CB9FFE5}"/>
</file>

<file path=customXml/itemProps3.xml><?xml version="1.0" encoding="utf-8"?>
<ds:datastoreItem xmlns:ds="http://schemas.openxmlformats.org/officeDocument/2006/customXml" ds:itemID="{A062365A-279E-4A43-A7C9-024690DBC5C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234</vt:i4>
      </vt:variant>
    </vt:vector>
  </HeadingPairs>
  <TitlesOfParts>
    <vt:vector size="255"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FuelAvail</vt:lpstr>
      <vt:lpstr>Veh Price</vt:lpstr>
      <vt:lpstr>Market Data</vt:lpstr>
      <vt:lpstr>Adoption Decision</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Birky, Alicia</cp:lastModifiedBy>
  <cp:lastPrinted>2012-07-16T18:43:44Z</cp:lastPrinted>
  <dcterms:created xsi:type="dcterms:W3CDTF">2011-09-16T16:09:37Z</dcterms:created>
  <dcterms:modified xsi:type="dcterms:W3CDTF">2020-08-27T22:50:26Z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